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_Carrières" sheetId="1" state="visible" r:id="rId1"/>
    <sheet xmlns:r="http://schemas.openxmlformats.org/officeDocument/2006/relationships" name="Paramètres_Retraite" sheetId="2" state="visible" r:id="rId2"/>
    <sheet xmlns:r="http://schemas.openxmlformats.org/officeDocument/2006/relationships" name="Simulation_Retraite" sheetId="3" state="visible" r:id="rId3"/>
    <sheet xmlns:r="http://schemas.openxmlformats.org/officeDocument/2006/relationships" name="Synthèse_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&quot; €&quot;"/>
    <numFmt numFmtId="165" formatCode="#,##0.00&quot; €&quot;"/>
    <numFmt numFmtId="166" formatCode="#,##0.0000&quot; €&quot;"/>
    <numFmt numFmtId="167" formatCode="0.0"/>
  </numFmts>
  <fonts count="5">
    <font>
      <name val="Calibri"/>
      <family val="2"/>
      <color theme="1"/>
      <sz val="11"/>
      <scheme val="minor"/>
    </font>
    <font>
      <b val="1"/>
      <color rgb="000E7A54"/>
      <sz val="14"/>
    </font>
    <font>
      <b val="1"/>
      <color rgb="00FFFFFF"/>
      <sz val="11"/>
    </font>
    <font>
      <sz val="10"/>
    </font>
    <font>
      <b val="1"/>
      <color rgb="001F2937"/>
    </font>
  </fonts>
  <fills count="8">
    <fill>
      <patternFill/>
    </fill>
    <fill>
      <patternFill patternType="gray125"/>
    </fill>
    <fill>
      <patternFill patternType="solid">
        <fgColor rgb="000E7A54"/>
      </patternFill>
    </fill>
    <fill>
      <patternFill patternType="solid">
        <fgColor rgb="00EAF7F1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97316"/>
      </patternFill>
    </fill>
    <fill>
      <patternFill patternType="solid">
        <fgColor rgb="0012946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0" fontId="3" fillId="4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10" fontId="4" fillId="6" borderId="1" applyAlignment="1" pivotButton="0" quotePrefix="0" xfId="0">
      <alignment horizontal="center" vertical="center" wrapText="1"/>
    </xf>
    <xf numFmtId="165" fontId="4" fillId="6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2" fillId="7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10" fontId="3" fillId="3" borderId="1" applyAlignment="1" pivotButton="0" quotePrefix="0" xfId="0">
      <alignment horizontal="center" vertical="center" wrapText="1"/>
    </xf>
    <xf numFmtId="167" fontId="3" fillId="3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10" fontId="3" fillId="5" borderId="1" applyAlignment="1" pivotButton="0" quotePrefix="0" xfId="0">
      <alignment horizontal="center" vertical="center" wrapText="1"/>
    </xf>
    <xf numFmtId="167" fontId="3" fillId="5" borderId="1" applyAlignment="1" pivotButton="0" quotePrefix="0" xfId="0">
      <alignment horizontal="center" vertical="center" wrapText="1"/>
    </xf>
    <xf numFmtId="167" fontId="4" fillId="6" borderId="1" applyAlignment="1" pivotButton="0" quotePrefix="0" xfId="0">
      <alignment horizontal="center" vertical="center" wrapText="1"/>
    </xf>
    <xf numFmtId="166" fontId="4" fillId="6" borderId="1" applyAlignment="1" pivotButton="0" quotePrefix="0" xfId="0">
      <alignment horizontal="center" vertical="center" wrapText="1"/>
    </xf>
    <xf numFmtId="3" fontId="3" fillId="3" borderId="1" applyAlignment="1" pivotButton="0" quotePrefix="0" xfId="0">
      <alignment horizontal="center" vertical="center" wrapText="1"/>
    </xf>
    <xf numFmtId="3" fontId="3" fillId="5" borderId="1" applyAlignment="1" pivotButton="0" quotePrefix="0" xfId="0">
      <alignment horizontal="center" vertical="center" wrapText="1"/>
    </xf>
    <xf numFmtId="0" fontId="2" fillId="7" borderId="0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2" fillId="7" borderId="0" pivotButton="0" quotePrefix="0" xfId="0"/>
    <xf numFmtId="0" fontId="0" fillId="7" borderId="0" pivotButton="0" quotePrefix="0" xfId="0"/>
    <xf numFmtId="0" fontId="3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DC2626"/>
      </font>
    </dxf>
    <dxf>
      <font>
        <b val="1"/>
        <color rgb="0016A34A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Pension mensuelle estimée par profil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'Simulation_Retraite'!I3</f>
            </strRef>
          </tx>
          <spPr>
            <a:solidFill xmlns:a="http://schemas.openxmlformats.org/drawingml/2006/main">
              <a:srgbClr val="0E7A54"/>
            </a:solidFill>
            <a:ln xmlns:a="http://schemas.openxmlformats.org/drawingml/2006/main">
              <a:prstDash val="solid"/>
            </a:ln>
          </spPr>
          <cat>
            <numRef>
              <f>'Simulation_Retraite'!$A$4:$A$13</f>
            </numRef>
          </cat>
          <val>
            <numRef>
              <f>'Simulation_Retraite'!$I$4:$I$13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Profil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Pension mensuelle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Décote / Surcote</a:t>
            </a:r>
          </a:p>
        </rich>
      </tx>
    </title>
    <plotArea>
      <pieChart>
        <varyColors val="1"/>
        <ser>
          <idx val="0"/>
          <order val="0"/>
          <tx>
            <strRef>
              <f>'Synthèse_Dashboard'!B15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'Synthèse_Dashboard'!$A$16:$A$17</f>
            </numRef>
          </cat>
          <val>
            <numRef>
              <f>'Synthèse_Dashboard'!$B$16:$B$17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trimestres acquis par année</a:t>
            </a:r>
          </a:p>
        </rich>
      </tx>
    </title>
    <plotArea>
      <lineChart>
        <grouping val="standard"/>
        <ser>
          <idx val="0"/>
          <order val="0"/>
          <tx>
            <strRef>
              <f>'Données_Carrières'!H3</f>
            </strRef>
          </tx>
          <spPr>
            <a:ln xmlns:a="http://schemas.openxmlformats.org/drawingml/2006/main" w="20000">
              <a:solidFill>
                <a:srgbClr val="F9731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'Données_Carrières'!$A$4:$A$13</f>
            </numRef>
          </cat>
          <val>
            <numRef>
              <f>'Données_Carrières'!$H$4:$H$13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Trimestres acquis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20</row>
      <rowOff>0</rowOff>
    </from>
    <ext cx="648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6" customWidth="1" min="2" max="2"/>
    <col width="16" customWidth="1" min="3" max="3"/>
    <col width="22" customWidth="1" min="4" max="4"/>
    <col width="12" customWidth="1" min="5" max="5"/>
    <col width="20" customWidth="1" min="6" max="6"/>
    <col width="20" customWidth="1" min="7" max="7"/>
    <col width="14" customWidth="1" min="8" max="8"/>
    <col width="22" customWidth="1" min="9" max="9"/>
    <col width="18" customWidth="1" min="10" max="10"/>
    <col width="22" customWidth="1" min="11" max="11"/>
    <col width="30" customWidth="1" min="12" max="12"/>
  </cols>
  <sheetData>
    <row r="1">
      <c r="A1" s="1" t="inlineStr">
        <is>
          <t>DONNÉES DE CARRIÈRE — CALCUL RETRAITE 2026</t>
        </is>
      </c>
    </row>
    <row r="3">
      <c r="A3" s="2" t="inlineStr">
        <is>
          <t>Année</t>
        </is>
      </c>
      <c r="B3" s="2" t="inlineStr">
        <is>
          <t>Âge</t>
        </is>
      </c>
      <c r="C3" s="2" t="inlineStr">
        <is>
          <t>Statut</t>
        </is>
      </c>
      <c r="D3" s="2" t="inlineStr">
        <is>
          <t>Entreprise / Régime</t>
        </is>
      </c>
      <c r="E3" s="2" t="inlineStr">
        <is>
          <t>Ville</t>
        </is>
      </c>
      <c r="F3" s="2" t="inlineStr">
        <is>
          <t>Salaire brut annuel (€)</t>
        </is>
      </c>
      <c r="G3" s="2" t="inlineStr">
        <is>
          <t>Revenu net annuel (€)</t>
        </is>
      </c>
      <c r="H3" s="2" t="inlineStr">
        <is>
          <t>Trimestres acquis</t>
        </is>
      </c>
      <c r="I3" s="2" t="inlineStr">
        <is>
          <t>Points retraite complémentaire</t>
        </is>
      </c>
      <c r="J3" s="2" t="inlineStr">
        <is>
          <t>Taux cotisation retraite (%)</t>
        </is>
      </c>
      <c r="K3" s="2" t="inlineStr">
        <is>
          <t>Montant cotisations retraite (€)</t>
        </is>
      </c>
      <c r="L3" s="2" t="inlineStr">
        <is>
          <t>Observations</t>
        </is>
      </c>
    </row>
    <row r="4">
      <c r="A4" s="3" t="n">
        <v>2016</v>
      </c>
      <c r="B4" s="3" t="n">
        <v>28</v>
      </c>
      <c r="C4" s="3" t="inlineStr">
        <is>
          <t>Salarié</t>
        </is>
      </c>
      <c r="D4" s="3" t="inlineStr">
        <is>
          <t>Entreprise Dupont SA</t>
        </is>
      </c>
      <c r="E4" s="3" t="inlineStr">
        <is>
          <t>Paris</t>
        </is>
      </c>
      <c r="F4" s="4" t="n">
        <v>32000</v>
      </c>
      <c r="G4" s="4" t="n">
        <v>25000</v>
      </c>
      <c r="H4" s="5" t="n">
        <v>4</v>
      </c>
      <c r="I4" s="5" t="n">
        <v>850</v>
      </c>
      <c r="J4" s="6" t="n">
        <v>0.115</v>
      </c>
      <c r="K4" s="7">
        <f>F4*J4</f>
        <v/>
      </c>
      <c r="L4" s="8" t="inlineStr">
        <is>
          <t>Camille - Début de carrière</t>
        </is>
      </c>
    </row>
    <row r="5">
      <c r="A5" s="9" t="n">
        <v>2017</v>
      </c>
      <c r="B5" s="9" t="n">
        <v>35</v>
      </c>
      <c r="C5" s="9" t="inlineStr">
        <is>
          <t>Indépendant</t>
        </is>
      </c>
      <c r="D5" s="9" t="inlineStr">
        <is>
          <t>Auto-entrepreneur</t>
        </is>
      </c>
      <c r="E5" s="9" t="inlineStr">
        <is>
          <t>Bordeaux</t>
        </is>
      </c>
      <c r="F5" s="4" t="n">
        <v>28000</v>
      </c>
      <c r="G5" s="4" t="n">
        <v>22000</v>
      </c>
      <c r="H5" s="5" t="n">
        <v>4</v>
      </c>
      <c r="I5" s="5" t="n">
        <v>0</v>
      </c>
      <c r="J5" s="6" t="n">
        <v>0.1</v>
      </c>
      <c r="K5" s="10">
        <f>F5*J5</f>
        <v/>
      </c>
      <c r="L5" s="8" t="inlineStr">
        <is>
          <t>Julien - Micro-entreprise</t>
        </is>
      </c>
    </row>
    <row r="6">
      <c r="A6" s="3" t="n">
        <v>2018</v>
      </c>
      <c r="B6" s="3" t="n">
        <v>42</v>
      </c>
      <c r="C6" s="3" t="inlineStr">
        <is>
          <t>Fonction publique</t>
        </is>
      </c>
      <c r="D6" s="3" t="inlineStr">
        <is>
          <t>Mairie de Lille</t>
        </is>
      </c>
      <c r="E6" s="3" t="inlineStr">
        <is>
          <t>Lille</t>
        </is>
      </c>
      <c r="F6" s="4" t="n">
        <v>38000</v>
      </c>
      <c r="G6" s="4" t="n">
        <v>30000</v>
      </c>
      <c r="H6" s="5" t="n">
        <v>4</v>
      </c>
      <c r="I6" s="5" t="n">
        <v>0</v>
      </c>
      <c r="J6" s="6" t="n">
        <v>0.12</v>
      </c>
      <c r="K6" s="7">
        <f>F6*J6</f>
        <v/>
      </c>
      <c r="L6" s="8" t="inlineStr">
        <is>
          <t>Chloé - Titulaire</t>
        </is>
      </c>
    </row>
    <row r="7">
      <c r="A7" s="9" t="n">
        <v>2019</v>
      </c>
      <c r="B7" s="9" t="n">
        <v>30</v>
      </c>
      <c r="C7" s="9" t="inlineStr">
        <is>
          <t>Salarié</t>
        </is>
      </c>
      <c r="D7" s="9" t="inlineStr">
        <is>
          <t>Entreprise Martin SARL</t>
        </is>
      </c>
      <c r="E7" s="9" t="inlineStr">
        <is>
          <t>Lyon</t>
        </is>
      </c>
      <c r="F7" s="4" t="n">
        <v>45000</v>
      </c>
      <c r="G7" s="4" t="n">
        <v>34000</v>
      </c>
      <c r="H7" s="5" t="n">
        <v>4</v>
      </c>
      <c r="I7" s="5" t="n">
        <v>1200</v>
      </c>
      <c r="J7" s="6" t="n">
        <v>0.115</v>
      </c>
      <c r="K7" s="10">
        <f>F7*J7</f>
        <v/>
      </c>
      <c r="L7" s="8" t="inlineStr">
        <is>
          <t>Thomas - Temps plein</t>
        </is>
      </c>
    </row>
    <row r="8">
      <c r="A8" s="3" t="n">
        <v>2020</v>
      </c>
      <c r="B8" s="3" t="n">
        <v>50</v>
      </c>
      <c r="C8" s="3" t="inlineStr">
        <is>
          <t>Sans activité</t>
        </is>
      </c>
      <c r="D8" s="3" t="inlineStr">
        <is>
          <t>-</t>
        </is>
      </c>
      <c r="E8" s="3" t="inlineStr">
        <is>
          <t>Nantes</t>
        </is>
      </c>
      <c r="F8" s="4" t="n">
        <v>0</v>
      </c>
      <c r="G8" s="4" t="n">
        <v>0</v>
      </c>
      <c r="H8" s="5" t="n">
        <v>2</v>
      </c>
      <c r="I8" s="5" t="n">
        <v>0</v>
      </c>
      <c r="J8" s="6" t="n">
        <v>0</v>
      </c>
      <c r="K8" s="7">
        <f>F8*J8</f>
        <v/>
      </c>
      <c r="L8" s="8" t="inlineStr">
        <is>
          <t>Léa - Période de chômage</t>
        </is>
      </c>
    </row>
    <row r="9">
      <c r="A9" s="9" t="n">
        <v>2021</v>
      </c>
      <c r="B9" s="9" t="n">
        <v>38</v>
      </c>
      <c r="C9" s="9" t="inlineStr">
        <is>
          <t>Salarié</t>
        </is>
      </c>
      <c r="D9" s="9" t="inlineStr">
        <is>
          <t>Groupe Leclerc</t>
        </is>
      </c>
      <c r="E9" s="9" t="inlineStr">
        <is>
          <t>Toulouse</t>
        </is>
      </c>
      <c r="F9" s="4" t="n">
        <v>52000</v>
      </c>
      <c r="G9" s="4" t="n">
        <v>39000</v>
      </c>
      <c r="H9" s="5" t="n">
        <v>4</v>
      </c>
      <c r="I9" s="5" t="n">
        <v>1350</v>
      </c>
      <c r="J9" s="6" t="n">
        <v>0.115</v>
      </c>
      <c r="K9" s="10">
        <f>F9*J9</f>
        <v/>
      </c>
      <c r="L9" s="8" t="inlineStr">
        <is>
          <t>Nicolas - Reprise d'activité</t>
        </is>
      </c>
    </row>
    <row r="10">
      <c r="A10" s="3" t="n">
        <v>2022</v>
      </c>
      <c r="B10" s="3" t="n">
        <v>45</v>
      </c>
      <c r="C10" s="3" t="inlineStr">
        <is>
          <t>Indépendant</t>
        </is>
      </c>
      <c r="D10" s="3" t="inlineStr">
        <is>
          <t>Consultante SASU</t>
        </is>
      </c>
      <c r="E10" s="3" t="inlineStr">
        <is>
          <t>Bordeaux</t>
        </is>
      </c>
      <c r="F10" s="4" t="n">
        <v>60000</v>
      </c>
      <c r="G10" s="4" t="n">
        <v>46000</v>
      </c>
      <c r="H10" s="5" t="n">
        <v>4</v>
      </c>
      <c r="I10" s="5" t="n">
        <v>1500</v>
      </c>
      <c r="J10" s="6" t="n">
        <v>0.1</v>
      </c>
      <c r="K10" s="7">
        <f>F10*J10</f>
        <v/>
      </c>
      <c r="L10" s="8" t="inlineStr">
        <is>
          <t>Manon - Temps partiel</t>
        </is>
      </c>
    </row>
    <row r="11">
      <c r="A11" s="9" t="n">
        <v>2026</v>
      </c>
      <c r="B11" s="9" t="n">
        <v>33</v>
      </c>
      <c r="C11" s="9" t="inlineStr">
        <is>
          <t>Salarié</t>
        </is>
      </c>
      <c r="D11" s="9" t="inlineStr">
        <is>
          <t>Entreprise Dupont SA</t>
        </is>
      </c>
      <c r="E11" s="9" t="inlineStr">
        <is>
          <t>Strasbourg</t>
        </is>
      </c>
      <c r="F11" s="4" t="n">
        <v>41000</v>
      </c>
      <c r="G11" s="4" t="n">
        <v>31500</v>
      </c>
      <c r="H11" s="5" t="n">
        <v>4</v>
      </c>
      <c r="I11" s="5" t="n">
        <v>1600</v>
      </c>
      <c r="J11" s="6" t="n">
        <v>0.115</v>
      </c>
      <c r="K11" s="10">
        <f>F11*J11</f>
        <v/>
      </c>
      <c r="L11" s="8" t="inlineStr">
        <is>
          <t>Hugo - Poste actuel</t>
        </is>
      </c>
    </row>
    <row r="12">
      <c r="A12" s="3" t="n">
        <v>2026</v>
      </c>
      <c r="B12" s="3" t="n">
        <v>29</v>
      </c>
      <c r="C12" s="3" t="inlineStr">
        <is>
          <t>Fonction publique</t>
        </is>
      </c>
      <c r="D12" s="3" t="inlineStr">
        <is>
          <t>Hôpital de Strasbourg</t>
        </is>
      </c>
      <c r="E12" s="3" t="inlineStr">
        <is>
          <t>Strasbourg</t>
        </is>
      </c>
      <c r="F12" s="4" t="n">
        <v>36000</v>
      </c>
      <c r="G12" s="4" t="n">
        <v>28000</v>
      </c>
      <c r="H12" s="5" t="n">
        <v>4</v>
      </c>
      <c r="I12" s="5" t="n">
        <v>0</v>
      </c>
      <c r="J12" s="6" t="n">
        <v>0.12</v>
      </c>
      <c r="K12" s="7">
        <f>F12*J12</f>
        <v/>
      </c>
      <c r="L12" s="8" t="inlineStr">
        <is>
          <t>Émilie - Titulaire</t>
        </is>
      </c>
    </row>
    <row r="13">
      <c r="A13" s="9" t="n">
        <v>2026</v>
      </c>
      <c r="B13" s="9" t="n">
        <v>55</v>
      </c>
      <c r="C13" s="9" t="inlineStr">
        <is>
          <t>Salarié</t>
        </is>
      </c>
      <c r="D13" s="9" t="inlineStr">
        <is>
          <t>Groupe Renault</t>
        </is>
      </c>
      <c r="E13" s="9" t="inlineStr">
        <is>
          <t>Paris</t>
        </is>
      </c>
      <c r="F13" s="4" t="n">
        <v>68000</v>
      </c>
      <c r="G13" s="4" t="n">
        <v>52000</v>
      </c>
      <c r="H13" s="5" t="n">
        <v>4</v>
      </c>
      <c r="I13" s="5" t="n">
        <v>18500</v>
      </c>
      <c r="J13" s="6" t="n">
        <v>0.115</v>
      </c>
      <c r="K13" s="10">
        <f>F13*J13</f>
        <v/>
      </c>
      <c r="L13" s="8" t="inlineStr">
        <is>
          <t>Lucas - Fin de carrière</t>
        </is>
      </c>
    </row>
    <row r="14">
      <c r="A14" s="11" t="inlineStr">
        <is>
          <t>TOTAUX / MOYENNES</t>
        </is>
      </c>
      <c r="B14" s="11" t="n"/>
      <c r="C14" s="11" t="n"/>
      <c r="D14" s="11" t="n"/>
      <c r="E14" s="11" t="n"/>
      <c r="F14" s="12">
        <f>SUM(F4:F13)</f>
        <v/>
      </c>
      <c r="G14" s="12">
        <f>SUM(G4:G13)</f>
        <v/>
      </c>
      <c r="H14" s="11">
        <f>SUM(H4:H13)</f>
        <v/>
      </c>
      <c r="I14" s="11">
        <f>SUM(I4:I13)</f>
        <v/>
      </c>
      <c r="J14" s="13">
        <f>AVERAGE(J4:J13)</f>
        <v/>
      </c>
      <c r="K14" s="14">
        <f>SUM(K4:K13)</f>
        <v/>
      </c>
      <c r="L14" s="11" t="inlineStr"/>
    </row>
  </sheetData>
  <mergeCells count="2">
    <mergeCell ref="A1:L1"/>
    <mergeCell ref="A14:E14"/>
  </mergeCells>
  <conditionalFormatting sqref="C4:C13">
    <cfRule type="expression" priority="1" dxfId="0" stopIfTrue="0">
      <formula>C4="Sans activité"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16" customWidth="1" min="3" max="3"/>
    <col width="12" customWidth="1" min="4" max="4"/>
    <col width="24" customWidth="1" min="5" max="5"/>
    <col width="20" customWidth="1" min="6" max="6"/>
    <col width="34" customWidth="1" min="7" max="7"/>
  </cols>
  <sheetData>
    <row r="1">
      <c r="A1" s="1" t="inlineStr">
        <is>
          <t>PARAMÈTRES DE CALCUL RETRAITE — RÉFÉRENTIEL</t>
        </is>
      </c>
    </row>
    <row r="3">
      <c r="A3" s="2" t="inlineStr">
        <is>
          <t>Régime</t>
        </is>
      </c>
      <c r="B3" s="2" t="inlineStr">
        <is>
          <t>Valeur du point (€)</t>
        </is>
      </c>
      <c r="C3" s="2" t="inlineStr">
        <is>
          <t>Trimestres requis</t>
        </is>
      </c>
      <c r="D3" s="2" t="inlineStr">
        <is>
          <t>Âge légal</t>
        </is>
      </c>
      <c r="E3" s="2" t="inlineStr">
        <is>
          <t>Taux de cotisation standard (%)</t>
        </is>
      </c>
      <c r="F3" s="2" t="inlineStr">
        <is>
          <t>Âge taux plein automatique</t>
        </is>
      </c>
      <c r="G3" s="2" t="inlineStr">
        <is>
          <t>Remarque</t>
        </is>
      </c>
    </row>
    <row r="4">
      <c r="A4" s="3" t="inlineStr">
        <is>
          <t>Régime général</t>
        </is>
      </c>
      <c r="B4" s="15" t="n">
        <v>1.3568</v>
      </c>
      <c r="C4" s="5" t="n">
        <v>172</v>
      </c>
      <c r="D4" s="5" t="n">
        <v>64</v>
      </c>
      <c r="E4" s="6" t="n">
        <v>0.1131</v>
      </c>
      <c r="F4" s="5" t="n">
        <v>67</v>
      </c>
      <c r="G4" s="16" t="inlineStr">
        <is>
          <t>Base + trimestres validés</t>
        </is>
      </c>
    </row>
    <row r="5">
      <c r="A5" s="9" t="inlineStr">
        <is>
          <t>Agirc-Arrco</t>
        </is>
      </c>
      <c r="B5" s="15" t="n">
        <v>1.29</v>
      </c>
      <c r="C5" s="5" t="n">
        <v>172</v>
      </c>
      <c r="D5" s="5" t="n">
        <v>64</v>
      </c>
      <c r="E5" s="6" t="n">
        <v>0.07870000000000001</v>
      </c>
      <c r="F5" s="5" t="n">
        <v>67</v>
      </c>
      <c r="G5" s="17" t="inlineStr">
        <is>
          <t>Points complémentaires cadres/non-cadres</t>
        </is>
      </c>
    </row>
    <row r="6">
      <c r="A6" s="3" t="inlineStr">
        <is>
          <t>Fonction publique</t>
        </is>
      </c>
      <c r="B6" s="15" t="n">
        <v>1</v>
      </c>
      <c r="C6" s="5" t="n">
        <v>172</v>
      </c>
      <c r="D6" s="5" t="n">
        <v>62</v>
      </c>
      <c r="E6" s="6" t="n">
        <v>0.111</v>
      </c>
      <c r="F6" s="5" t="n">
        <v>67</v>
      </c>
      <c r="G6" s="16" t="inlineStr">
        <is>
          <t>Calcul sur indice, 6 derniers mois</t>
        </is>
      </c>
    </row>
    <row r="7">
      <c r="A7" s="9" t="inlineStr">
        <is>
          <t>Indépendant / micro-entreprise</t>
        </is>
      </c>
      <c r="B7" s="15" t="n">
        <v>0.626</v>
      </c>
      <c r="C7" s="5" t="n">
        <v>172</v>
      </c>
      <c r="D7" s="5" t="n">
        <v>64</v>
      </c>
      <c r="E7" s="6" t="n">
        <v>0.22</v>
      </c>
      <c r="F7" s="5" t="n">
        <v>67</v>
      </c>
      <c r="G7" s="17" t="inlineStr">
        <is>
          <t>Cotisations forfaitaires simplifiées</t>
        </is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2" customWidth="1" min="3" max="3"/>
    <col width="16" customWidth="1" min="4" max="4"/>
    <col width="15" customWidth="1" min="5" max="5"/>
    <col width="13" customWidth="1" min="6" max="6"/>
    <col width="22" customWidth="1" min="7" max="7"/>
    <col width="16" customWidth="1" min="8" max="8"/>
    <col width="22" customWidth="1" min="9" max="9"/>
    <col width="18" customWidth="1" min="10" max="10"/>
    <col width="16" customWidth="1" min="11" max="11"/>
    <col width="15" customWidth="1" min="12" max="12"/>
    <col width="26" customWidth="1" min="13" max="13"/>
  </cols>
  <sheetData>
    <row r="1">
      <c r="A1" s="1" t="inlineStr">
        <is>
          <t>SIMULATION DE RETRAITE PAR PROFIL</t>
        </is>
      </c>
    </row>
    <row r="3">
      <c r="A3" s="18" t="inlineStr">
        <is>
          <t>Profil</t>
        </is>
      </c>
      <c r="B3" s="18" t="inlineStr">
        <is>
          <t>Régime</t>
        </is>
      </c>
      <c r="C3" s="18" t="inlineStr">
        <is>
          <t>Âge actuel</t>
        </is>
      </c>
      <c r="D3" s="18" t="inlineStr">
        <is>
          <t>Trimestres validés</t>
        </is>
      </c>
      <c r="E3" s="18" t="inlineStr">
        <is>
          <t>Trimestres requis</t>
        </is>
      </c>
      <c r="F3" s="18" t="inlineStr">
        <is>
          <t>Points acquis</t>
        </is>
      </c>
      <c r="G3" s="18" t="inlineStr">
        <is>
          <t>Revenu net annuel réf. (€)</t>
        </is>
      </c>
      <c r="H3" s="18" t="inlineStr">
        <is>
          <t>Valeur du point (€)</t>
        </is>
      </c>
      <c r="I3" s="18" t="inlineStr">
        <is>
          <t>Pension mensuelle estimée (€)</t>
        </is>
      </c>
      <c r="J3" s="18" t="inlineStr">
        <is>
          <t>Taux de remplacement (%)</t>
        </is>
      </c>
      <c r="K3" s="18" t="inlineStr">
        <is>
          <t>Âge départ estimé</t>
        </is>
      </c>
      <c r="L3" s="18" t="inlineStr">
        <is>
          <t>Décote / Surcote</t>
        </is>
      </c>
      <c r="M3" s="18" t="inlineStr">
        <is>
          <t>Commentaire</t>
        </is>
      </c>
    </row>
    <row r="4">
      <c r="A4" s="3" t="inlineStr">
        <is>
          <t>Camille</t>
        </is>
      </c>
      <c r="B4" s="3" t="inlineStr">
        <is>
          <t>Régime général</t>
        </is>
      </c>
      <c r="C4" s="3" t="n">
        <v>38</v>
      </c>
      <c r="D4" s="5" t="n">
        <v>148</v>
      </c>
      <c r="E4" s="3">
        <f>IFERROR(VLOOKUP(B4,Paramètres_Retraite!$A$4:$G$7,3,FALSE),172)</f>
        <v/>
      </c>
      <c r="F4" s="5" t="n">
        <v>3200</v>
      </c>
      <c r="G4" s="4" t="n">
        <v>25000</v>
      </c>
      <c r="H4" s="19">
        <f>IFERROR(VLOOKUP(B4,Paramètres_Retraite!$A$4:$G$7,2,FALSE),0)</f>
        <v/>
      </c>
      <c r="I4" s="7">
        <f>IFERROR((F4*H4/12)+((D4/E4)*G4*0.5/12),0)</f>
        <v/>
      </c>
      <c r="J4" s="20">
        <f>IFERROR((I4*12)/G4,0)</f>
        <v/>
      </c>
      <c r="K4" s="21">
        <f>IF(D4&gt;=E4,C4,C4+(E4-D4)/4)</f>
        <v/>
      </c>
      <c r="L4" s="3">
        <f>IF(D4&lt;E4,"Décote","Surcote")</f>
        <v/>
      </c>
      <c r="M4" s="16">
        <f>IF(L4="Surcote","Taux plein atteint","Poursuivre cotisation")</f>
        <v/>
      </c>
    </row>
    <row r="5">
      <c r="A5" s="9" t="inlineStr">
        <is>
          <t>Julien</t>
        </is>
      </c>
      <c r="B5" s="9" t="inlineStr">
        <is>
          <t>Indépendant / micro-entreprise</t>
        </is>
      </c>
      <c r="C5" s="9" t="n">
        <v>45</v>
      </c>
      <c r="D5" s="5" t="n">
        <v>160</v>
      </c>
      <c r="E5" s="9">
        <f>IFERROR(VLOOKUP(B5,Paramètres_Retraite!$A$4:$G$7,3,FALSE),172)</f>
        <v/>
      </c>
      <c r="F5" s="5" t="n">
        <v>900</v>
      </c>
      <c r="G5" s="4" t="n">
        <v>22000</v>
      </c>
      <c r="H5" s="22">
        <f>IFERROR(VLOOKUP(B5,Paramètres_Retraite!$A$4:$G$7,2,FALSE),0)</f>
        <v/>
      </c>
      <c r="I5" s="10">
        <f>IFERROR((F5*H5/12)+((D5/E5)*G5*0.5/12),0)</f>
        <v/>
      </c>
      <c r="J5" s="23">
        <f>IFERROR((I5*12)/G5,0)</f>
        <v/>
      </c>
      <c r="K5" s="24">
        <f>IF(D5&gt;=E5,C5,C5+(E5-D5)/4)</f>
        <v/>
      </c>
      <c r="L5" s="9">
        <f>IF(D5&lt;E5,"Décote","Surcote")</f>
        <v/>
      </c>
      <c r="M5" s="17">
        <f>IF(L5="Surcote","Taux plein atteint","Poursuivre cotisation")</f>
        <v/>
      </c>
    </row>
    <row r="6">
      <c r="A6" s="3" t="inlineStr">
        <is>
          <t>Chloé</t>
        </is>
      </c>
      <c r="B6" s="3" t="inlineStr">
        <is>
          <t>Fonction publique</t>
        </is>
      </c>
      <c r="C6" s="3" t="n">
        <v>50</v>
      </c>
      <c r="D6" s="5" t="n">
        <v>168</v>
      </c>
      <c r="E6" s="3">
        <f>IFERROR(VLOOKUP(B6,Paramètres_Retraite!$A$4:$G$7,3,FALSE),172)</f>
        <v/>
      </c>
      <c r="F6" s="5" t="n">
        <v>500</v>
      </c>
      <c r="G6" s="4" t="n">
        <v>30000</v>
      </c>
      <c r="H6" s="19">
        <f>IFERROR(VLOOKUP(B6,Paramètres_Retraite!$A$4:$G$7,2,FALSE),0)</f>
        <v/>
      </c>
      <c r="I6" s="7">
        <f>IFERROR((F6*H6/12)+((D6/E6)*G6*0.5/12),0)</f>
        <v/>
      </c>
      <c r="J6" s="20">
        <f>IFERROR((I6*12)/G6,0)</f>
        <v/>
      </c>
      <c r="K6" s="21">
        <f>IF(D6&gt;=E6,C6,C6+(E6-D6)/4)</f>
        <v/>
      </c>
      <c r="L6" s="3">
        <f>IF(D6&lt;E6,"Décote","Surcote")</f>
        <v/>
      </c>
      <c r="M6" s="16">
        <f>IF(L6="Surcote","Taux plein atteint","Poursuivre cotisation")</f>
        <v/>
      </c>
    </row>
    <row r="7">
      <c r="A7" s="9" t="inlineStr">
        <is>
          <t>Thomas</t>
        </is>
      </c>
      <c r="B7" s="9" t="inlineStr">
        <is>
          <t>Régime général</t>
        </is>
      </c>
      <c r="C7" s="9" t="n">
        <v>37</v>
      </c>
      <c r="D7" s="5" t="n">
        <v>120</v>
      </c>
      <c r="E7" s="9">
        <f>IFERROR(VLOOKUP(B7,Paramètres_Retraite!$A$4:$G$7,3,FALSE),172)</f>
        <v/>
      </c>
      <c r="F7" s="5" t="n">
        <v>4200</v>
      </c>
      <c r="G7" s="4" t="n">
        <v>34000</v>
      </c>
      <c r="H7" s="22">
        <f>IFERROR(VLOOKUP(B7,Paramètres_Retraite!$A$4:$G$7,2,FALSE),0)</f>
        <v/>
      </c>
      <c r="I7" s="10">
        <f>IFERROR((F7*H7/12)+((D7/E7)*G7*0.5/12),0)</f>
        <v/>
      </c>
      <c r="J7" s="23">
        <f>IFERROR((I7*12)/G7,0)</f>
        <v/>
      </c>
      <c r="K7" s="24">
        <f>IF(D7&gt;=E7,C7,C7+(E7-D7)/4)</f>
        <v/>
      </c>
      <c r="L7" s="9">
        <f>IF(D7&lt;E7,"Décote","Surcote")</f>
        <v/>
      </c>
      <c r="M7" s="17">
        <f>IF(L7="Surcote","Taux plein atteint","Poursuivre cotisation")</f>
        <v/>
      </c>
    </row>
    <row r="8">
      <c r="A8" s="3" t="inlineStr">
        <is>
          <t>Léa</t>
        </is>
      </c>
      <c r="B8" s="3" t="inlineStr">
        <is>
          <t>Régime général</t>
        </is>
      </c>
      <c r="C8" s="3" t="n">
        <v>56</v>
      </c>
      <c r="D8" s="5" t="n">
        <v>90</v>
      </c>
      <c r="E8" s="3">
        <f>IFERROR(VLOOKUP(B8,Paramètres_Retraite!$A$4:$G$7,3,FALSE),172)</f>
        <v/>
      </c>
      <c r="F8" s="5" t="n">
        <v>600</v>
      </c>
      <c r="G8" s="4" t="n">
        <v>18000</v>
      </c>
      <c r="H8" s="19">
        <f>IFERROR(VLOOKUP(B8,Paramètres_Retraite!$A$4:$G$7,2,FALSE),0)</f>
        <v/>
      </c>
      <c r="I8" s="7">
        <f>IFERROR((F8*H8/12)+((D8/E8)*G8*0.5/12),0)</f>
        <v/>
      </c>
      <c r="J8" s="20">
        <f>IFERROR((I8*12)/G8,0)</f>
        <v/>
      </c>
      <c r="K8" s="21">
        <f>IF(D8&gt;=E8,C8,C8+(E8-D8)/4)</f>
        <v/>
      </c>
      <c r="L8" s="3">
        <f>IF(D8&lt;E8,"Décote","Surcote")</f>
        <v/>
      </c>
      <c r="M8" s="16">
        <f>IF(L8="Surcote","Taux plein atteint","Poursuivre cotisation")</f>
        <v/>
      </c>
    </row>
    <row r="9">
      <c r="A9" s="9" t="inlineStr">
        <is>
          <t>Nicolas</t>
        </is>
      </c>
      <c r="B9" s="9" t="inlineStr">
        <is>
          <t>Agirc-Arrco</t>
        </is>
      </c>
      <c r="C9" s="9" t="n">
        <v>41</v>
      </c>
      <c r="D9" s="5" t="n">
        <v>156</v>
      </c>
      <c r="E9" s="9">
        <f>IFERROR(VLOOKUP(B9,Paramètres_Retraite!$A$4:$G$7,3,FALSE),172)</f>
        <v/>
      </c>
      <c r="F9" s="5" t="n">
        <v>8800</v>
      </c>
      <c r="G9" s="4" t="n">
        <v>39000</v>
      </c>
      <c r="H9" s="22">
        <f>IFERROR(VLOOKUP(B9,Paramètres_Retraite!$A$4:$G$7,2,FALSE),0)</f>
        <v/>
      </c>
      <c r="I9" s="10">
        <f>IFERROR((F9*H9/12)+((D9/E9)*G9*0.5/12),0)</f>
        <v/>
      </c>
      <c r="J9" s="23">
        <f>IFERROR((I9*12)/G9,0)</f>
        <v/>
      </c>
      <c r="K9" s="24">
        <f>IF(D9&gt;=E9,C9,C9+(E9-D9)/4)</f>
        <v/>
      </c>
      <c r="L9" s="9">
        <f>IF(D9&lt;E9,"Décote","Surcote")</f>
        <v/>
      </c>
      <c r="M9" s="17">
        <f>IF(L9="Surcote","Taux plein atteint","Poursuivre cotisation")</f>
        <v/>
      </c>
    </row>
    <row r="10">
      <c r="A10" s="3" t="inlineStr">
        <is>
          <t>Manon</t>
        </is>
      </c>
      <c r="B10" s="3" t="inlineStr">
        <is>
          <t>Indépendant / micro-entreprise</t>
        </is>
      </c>
      <c r="C10" s="3" t="n">
        <v>48</v>
      </c>
      <c r="D10" s="5" t="n">
        <v>140</v>
      </c>
      <c r="E10" s="3">
        <f>IFERROR(VLOOKUP(B10,Paramètres_Retraite!$A$4:$G$7,3,FALSE),172)</f>
        <v/>
      </c>
      <c r="F10" s="5" t="n">
        <v>1500</v>
      </c>
      <c r="G10" s="4" t="n">
        <v>46000</v>
      </c>
      <c r="H10" s="19">
        <f>IFERROR(VLOOKUP(B10,Paramètres_Retraite!$A$4:$G$7,2,FALSE),0)</f>
        <v/>
      </c>
      <c r="I10" s="7">
        <f>IFERROR((F10*H10/12)+((D10/E10)*G10*0.5/12),0)</f>
        <v/>
      </c>
      <c r="J10" s="20">
        <f>IFERROR((I10*12)/G10,0)</f>
        <v/>
      </c>
      <c r="K10" s="21">
        <f>IF(D10&gt;=E10,C10,C10+(E10-D10)/4)</f>
        <v/>
      </c>
      <c r="L10" s="3">
        <f>IF(D10&lt;E10,"Décote","Surcote")</f>
        <v/>
      </c>
      <c r="M10" s="16">
        <f>IF(L10="Surcote","Taux plein atteint","Poursuivre cotisation")</f>
        <v/>
      </c>
    </row>
    <row r="11">
      <c r="A11" s="9" t="inlineStr">
        <is>
          <t>Hugo</t>
        </is>
      </c>
      <c r="B11" s="9" t="inlineStr">
        <is>
          <t>Régime général</t>
        </is>
      </c>
      <c r="C11" s="9" t="n">
        <v>33</v>
      </c>
      <c r="D11" s="5" t="n">
        <v>60</v>
      </c>
      <c r="E11" s="9">
        <f>IFERROR(VLOOKUP(B11,Paramètres_Retraite!$A$4:$G$7,3,FALSE),172)</f>
        <v/>
      </c>
      <c r="F11" s="5" t="n">
        <v>1600</v>
      </c>
      <c r="G11" s="4" t="n">
        <v>31500</v>
      </c>
      <c r="H11" s="22">
        <f>IFERROR(VLOOKUP(B11,Paramètres_Retraite!$A$4:$G$7,2,FALSE),0)</f>
        <v/>
      </c>
      <c r="I11" s="10">
        <f>IFERROR((F11*H11/12)+((D11/E11)*G11*0.5/12),0)</f>
        <v/>
      </c>
      <c r="J11" s="23">
        <f>IFERROR((I11*12)/G11,0)</f>
        <v/>
      </c>
      <c r="K11" s="24">
        <f>IF(D11&gt;=E11,C11,C11+(E11-D11)/4)</f>
        <v/>
      </c>
      <c r="L11" s="9">
        <f>IF(D11&lt;E11,"Décote","Surcote")</f>
        <v/>
      </c>
      <c r="M11" s="17">
        <f>IF(L11="Surcote","Taux plein atteint","Poursuivre cotisation")</f>
        <v/>
      </c>
    </row>
    <row r="12">
      <c r="A12" s="3" t="inlineStr">
        <is>
          <t>Émilie</t>
        </is>
      </c>
      <c r="B12" s="3" t="inlineStr">
        <is>
          <t>Fonction publique</t>
        </is>
      </c>
      <c r="C12" s="3" t="n">
        <v>29</v>
      </c>
      <c r="D12" s="5" t="n">
        <v>40</v>
      </c>
      <c r="E12" s="3">
        <f>IFERROR(VLOOKUP(B12,Paramètres_Retraite!$A$4:$G$7,3,FALSE),172)</f>
        <v/>
      </c>
      <c r="F12" s="5" t="n">
        <v>300</v>
      </c>
      <c r="G12" s="4" t="n">
        <v>28000</v>
      </c>
      <c r="H12" s="19">
        <f>IFERROR(VLOOKUP(B12,Paramètres_Retraite!$A$4:$G$7,2,FALSE),0)</f>
        <v/>
      </c>
      <c r="I12" s="7">
        <f>IFERROR((F12*H12/12)+((D12/E12)*G12*0.5/12),0)</f>
        <v/>
      </c>
      <c r="J12" s="20">
        <f>IFERROR((I12*12)/G12,0)</f>
        <v/>
      </c>
      <c r="K12" s="21">
        <f>IF(D12&gt;=E12,C12,C12+(E12-D12)/4)</f>
        <v/>
      </c>
      <c r="L12" s="3">
        <f>IF(D12&lt;E12,"Décote","Surcote")</f>
        <v/>
      </c>
      <c r="M12" s="16">
        <f>IF(L12="Surcote","Taux plein atteint","Poursuivre cotisation")</f>
        <v/>
      </c>
    </row>
    <row r="13">
      <c r="A13" s="9" t="inlineStr">
        <is>
          <t>Lucas</t>
        </is>
      </c>
      <c r="B13" s="9" t="inlineStr">
        <is>
          <t>Régime général</t>
        </is>
      </c>
      <c r="C13" s="9" t="n">
        <v>55</v>
      </c>
      <c r="D13" s="5" t="n">
        <v>172</v>
      </c>
      <c r="E13" s="9">
        <f>IFERROR(VLOOKUP(B13,Paramètres_Retraite!$A$4:$G$7,3,FALSE),172)</f>
        <v/>
      </c>
      <c r="F13" s="5" t="n">
        <v>18500</v>
      </c>
      <c r="G13" s="4" t="n">
        <v>52000</v>
      </c>
      <c r="H13" s="22">
        <f>IFERROR(VLOOKUP(B13,Paramètres_Retraite!$A$4:$G$7,2,FALSE),0)</f>
        <v/>
      </c>
      <c r="I13" s="10">
        <f>IFERROR((F13*H13/12)+((D13/E13)*G13*0.5/12),0)</f>
        <v/>
      </c>
      <c r="J13" s="23">
        <f>IFERROR((I13*12)/G13,0)</f>
        <v/>
      </c>
      <c r="K13" s="24">
        <f>IF(D13&gt;=E13,C13,C13+(E13-D13)/4)</f>
        <v/>
      </c>
      <c r="L13" s="9">
        <f>IF(D13&lt;E13,"Décote","Surcote")</f>
        <v/>
      </c>
      <c r="M13" s="17">
        <f>IF(L13="Surcote","Taux plein atteint","Poursuivre cotisation")</f>
        <v/>
      </c>
    </row>
    <row r="14">
      <c r="A14" s="11" t="inlineStr">
        <is>
          <t>SYNTHÈSE / MOYENNES</t>
        </is>
      </c>
      <c r="B14" s="11" t="n"/>
      <c r="C14" s="11" t="n"/>
      <c r="D14" s="11" t="n"/>
      <c r="E14" s="25">
        <f>AVERAGE(E4:E13)</f>
        <v/>
      </c>
      <c r="F14" s="11">
        <f>SUM(F4:F13)</f>
        <v/>
      </c>
      <c r="G14" s="12">
        <f>AVERAGE(G4:G13)</f>
        <v/>
      </c>
      <c r="H14" s="26">
        <f>AVERAGE(H4:H13)</f>
        <v/>
      </c>
      <c r="I14" s="14">
        <f>AVERAGE(I4:I13)</f>
        <v/>
      </c>
      <c r="J14" s="13">
        <f>AVERAGE(J4:J13)</f>
        <v/>
      </c>
      <c r="K14" s="25">
        <f>AVERAGE(K4:K13)</f>
        <v/>
      </c>
      <c r="L14" s="11">
        <f>COUNTIF(L4:L13,"Décote")&amp;" Décote(s)"</f>
        <v/>
      </c>
      <c r="M14" s="11" t="inlineStr"/>
    </row>
  </sheetData>
  <mergeCells count="2">
    <mergeCell ref="A1:M1"/>
    <mergeCell ref="A14:D14"/>
  </mergeCells>
  <conditionalFormatting sqref="L4:L13">
    <cfRule type="expression" priority="1" dxfId="0" stopIfTrue="0">
      <formula>L4="Décote"</formula>
    </cfRule>
    <cfRule type="expression" priority="2" dxfId="1" stopIfTrue="0">
      <formula>L4="Surcote"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selection activeCell="A1" sqref="A1"/>
    </sheetView>
  </sheetViews>
  <sheetFormatPr baseColWidth="8" defaultRowHeight="15"/>
  <cols>
    <col width="34" customWidth="1" min="1" max="1"/>
    <col width="20" customWidth="1" min="2" max="2"/>
    <col width="20" customWidth="1" min="3" max="3"/>
    <col width="22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TABLEAU DE BORD — SYNTHÈSE RETRAITE 2026</t>
        </is>
      </c>
    </row>
    <row r="3">
      <c r="A3" s="18" t="inlineStr">
        <is>
          <t>INDICATEURS CLÉS</t>
        </is>
      </c>
      <c r="B3" s="18" t="n"/>
      <c r="C3" s="18" t="n"/>
      <c r="D3" s="18" t="n"/>
    </row>
    <row r="4">
      <c r="A4" s="16" t="inlineStr">
        <is>
          <t>Nombre de profils analysés</t>
        </is>
      </c>
      <c r="B4" s="3" t="n"/>
      <c r="C4" s="3" t="n"/>
      <c r="D4" s="27">
        <f>COUNTA(Simulation_Retraite!A4:A13)</f>
        <v/>
      </c>
    </row>
    <row r="5">
      <c r="A5" s="17" t="inlineStr">
        <is>
          <t>Pension mensuelle moyenne estimée (€)</t>
        </is>
      </c>
      <c r="B5" s="9" t="n"/>
      <c r="C5" s="9" t="n"/>
      <c r="D5" s="10">
        <f>IFERROR(AVERAGE(Simulation_Retraite!I4:I13),0)</f>
        <v/>
      </c>
    </row>
    <row r="6">
      <c r="A6" s="16" t="inlineStr">
        <is>
          <t>Pension mensuelle minimale (€)</t>
        </is>
      </c>
      <c r="B6" s="3" t="n"/>
      <c r="C6" s="3" t="n"/>
      <c r="D6" s="7">
        <f>IFERROR(MIN(Simulation_Retraite!I4:I13),0)</f>
        <v/>
      </c>
    </row>
    <row r="7">
      <c r="A7" s="17" t="inlineStr">
        <is>
          <t>Pension mensuelle maximale (€)</t>
        </is>
      </c>
      <c r="B7" s="9" t="n"/>
      <c r="C7" s="9" t="n"/>
      <c r="D7" s="10">
        <f>IFERROR(MAX(Simulation_Retraite!I4:I13),0)</f>
        <v/>
      </c>
    </row>
    <row r="8">
      <c r="A8" s="16" t="inlineStr">
        <is>
          <t>Trimestres validés moyens</t>
        </is>
      </c>
      <c r="B8" s="3" t="n"/>
      <c r="C8" s="3" t="n"/>
      <c r="D8" s="21">
        <f>IFERROR(AVERAGE(Simulation_Retraite!D4:D13),0)</f>
        <v/>
      </c>
    </row>
    <row r="9">
      <c r="A9" s="17" t="inlineStr">
        <is>
          <t>Taux de remplacement moyen (%)</t>
        </is>
      </c>
      <c r="B9" s="9" t="n"/>
      <c r="C9" s="9" t="n"/>
      <c r="D9" s="23">
        <f>IFERROR(AVERAGE(Simulation_Retraite!J4:J13),0)</f>
        <v/>
      </c>
    </row>
    <row r="10">
      <c r="A10" s="16" t="inlineStr">
        <is>
          <t>Âge de départ moyen estimé</t>
        </is>
      </c>
      <c r="B10" s="3" t="n"/>
      <c r="C10" s="3" t="n"/>
      <c r="D10" s="21">
        <f>IFERROR(AVERAGE(Simulation_Retraite!K4:K13),0)</f>
        <v/>
      </c>
    </row>
    <row r="11">
      <c r="A11" s="17" t="inlineStr">
        <is>
          <t>Profils en Décote</t>
        </is>
      </c>
      <c r="B11" s="9" t="n"/>
      <c r="C11" s="9" t="n"/>
      <c r="D11" s="28">
        <f>COUNTIF(Simulation_Retraite!L4:L13,"Décote")</f>
        <v/>
      </c>
    </row>
    <row r="12">
      <c r="A12" s="16" t="inlineStr">
        <is>
          <t>Profils en Surcote</t>
        </is>
      </c>
      <c r="B12" s="3" t="n"/>
      <c r="C12" s="3" t="n"/>
      <c r="D12" s="27">
        <f>COUNTIF(Simulation_Retraite!L4:L13,"Surcote")</f>
        <v/>
      </c>
    </row>
    <row r="14">
      <c r="A14" s="29" t="inlineStr">
        <is>
          <t>RÉPARTITION DÉCOTE / SURCOTE</t>
        </is>
      </c>
      <c r="B14" s="29" t="n"/>
    </row>
    <row r="15">
      <c r="A15" s="2" t="inlineStr">
        <is>
          <t>Statut</t>
        </is>
      </c>
      <c r="B15" s="2" t="inlineStr">
        <is>
          <t>Nombre de profils</t>
        </is>
      </c>
    </row>
    <row r="16">
      <c r="A16" s="30" t="inlineStr">
        <is>
          <t>Décote</t>
        </is>
      </c>
      <c r="B16" s="30">
        <f>COUNTIF(Simulation_Retraite!L4:L13,"Décote")</f>
        <v/>
      </c>
    </row>
    <row r="17">
      <c r="A17" s="30" t="inlineStr">
        <is>
          <t>Surcote</t>
        </is>
      </c>
      <c r="B17" s="30">
        <f>COUNTIF(Simulation_Retraite!L4:L13,"Surcote")</f>
        <v/>
      </c>
    </row>
    <row r="40">
      <c r="A40" s="31" t="inlineStr">
        <is>
          <t>MODE D'EMPLOI RAPIDE</t>
        </is>
      </c>
      <c r="B40" s="32" t="n"/>
      <c r="C40" s="32" t="n"/>
      <c r="D40" s="32" t="n"/>
      <c r="E40" s="32" t="n"/>
      <c r="F40" s="32" t="n"/>
      <c r="G40" s="32" t="n"/>
      <c r="H40" s="32" t="n"/>
    </row>
    <row r="41">
      <c r="A41" s="33" t="inlineStr">
        <is>
          <t>1. Données_Carrières : saisir chaque période de carrière (cellules jaunes modifiables).</t>
        </is>
      </c>
    </row>
    <row r="42">
      <c r="A42" s="33" t="inlineStr">
        <is>
          <t>2. Simulation_Retraite : renseigner profil, régime, trimestres, points et revenu de référence ; les calculs sont automatiques.</t>
        </is>
      </c>
    </row>
    <row r="43">
      <c r="A43" s="33" t="inlineStr">
        <is>
          <t>3. Paramètres_Retraite : référentiel des régimes utilisé par les formules VLOOKUP (valeur du point, trimestres requis).</t>
        </is>
      </c>
    </row>
    <row r="44">
      <c r="A44" s="33" t="inlineStr">
        <is>
          <t>4. Synthèse_Dashboard : indicateurs clés et graphiques générés automatiquement à partir des feuilles précédentes.</t>
        </is>
      </c>
    </row>
  </sheetData>
  <mergeCells count="17">
    <mergeCell ref="A1:H1"/>
    <mergeCell ref="A3:D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4:B14"/>
    <mergeCell ref="A40:H40"/>
    <mergeCell ref="A41:H41"/>
    <mergeCell ref="A42:H42"/>
    <mergeCell ref="A43:H43"/>
    <mergeCell ref="A44:H4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2026-07-06T23:38:32Z</dcterms:created>
  <dcterms:modified xmlns:dcterms="http://purl.org/dc/terms/" xmlns:xsi="http://www.w3.org/2001/XMLSchema-instance" xsi:type="dcterms:W3CDTF">2026-07-06T23:38:32Z</dcterms:modified>
</cp:coreProperties>
</file>