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mboursement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#,##0.00&quot; €&quot;"/>
    <numFmt numFmtId="167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b val="1"/>
      <color rgb="001F2937"/>
      <sz val="11"/>
    </font>
    <font>
      <name val="Calibri"/>
      <b val="1"/>
      <sz val="10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7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6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4" fillId="3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1" fontId="0" fillId="5" borderId="1" applyAlignment="1" pivotButton="0" quotePrefix="0" xfId="0">
      <alignment horizontal="center" vertical="center" wrapText="1"/>
    </xf>
    <xf numFmtId="0" fontId="2" fillId="7" borderId="0" pivotButton="0" quotePrefix="0" xfId="0"/>
    <xf numFmtId="0" fontId="0" fillId="7" borderId="0" pivotButton="0" quotePrefix="0" xfId="0"/>
    <xf numFmtId="0" fontId="0" fillId="3" borderId="1" pivotButton="0" quotePrefix="0" xfId="0"/>
    <xf numFmtId="166" fontId="0" fillId="3" borderId="1" pivotButton="0" quotePrefix="0" xfId="0"/>
    <xf numFmtId="0" fontId="0" fillId="5" borderId="1" pivotButton="0" quotePrefix="0" xfId="0"/>
    <xf numFmtId="166" fontId="0" fillId="5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0" fillId="3" borderId="1" applyAlignment="1" pivotButton="0" quotePrefix="0" xfId="0">
      <alignment vertical="center" wrapText="1"/>
    </xf>
    <xf numFmtId="0" fontId="4" fillId="5" borderId="1" pivotButton="0" quotePrefix="0" xfId="0"/>
    <xf numFmtId="0" fontId="0" fillId="5" borderId="1" applyAlignment="1" pivotButton="0" quotePrefix="0" xfId="0">
      <alignment vertical="center" wrapText="1"/>
    </xf>
    <xf numFmtId="0" fontId="2" fillId="7" borderId="0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DE68A"/>
        </patternFill>
      </fill>
    </dxf>
    <dxf>
      <font>
        <b val="1"/>
        <color rgb="0016A34A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financement des soins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'Tableau de bord'!$A$14:$A$16</f>
            </numRef>
          </cat>
          <val>
            <numRef>
              <f>'Tableau de bord'!$B$14:$B$16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facturé par type de soin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bord'!F3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bord'!$E$4:$E$11</f>
            </numRef>
          </cat>
          <val>
            <numRef>
              <f>'Tableau de bord'!$F$4:$F$11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Type de soin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2" customWidth="1" min="3" max="3"/>
    <col width="14" customWidth="1" min="4" max="4"/>
    <col width="16" customWidth="1" min="5" max="5"/>
    <col width="17" customWidth="1" min="6" max="6"/>
    <col width="13" customWidth="1" min="7" max="7"/>
    <col width="15" customWidth="1" min="8" max="8"/>
    <col width="15" customWidth="1" min="9" max="9"/>
    <col width="16" customWidth="1" min="10" max="10"/>
    <col width="16" customWidth="1" min="11" max="11"/>
    <col width="15" customWidth="1" min="12" max="12"/>
    <col width="20" customWidth="1" min="13" max="13"/>
    <col width="3" customWidth="1" min="14" max="14"/>
    <col width="24" customWidth="1" min="15" max="15"/>
    <col width="12" customWidth="1" min="16" max="16"/>
    <col width="14" customWidth="1" min="17" max="17"/>
  </cols>
  <sheetData>
    <row r="1" ht="24" customHeight="1">
      <c r="A1" s="1" t="inlineStr">
        <is>
          <t>Tableau de calcul des remboursements mutuelle santé</t>
        </is>
      </c>
    </row>
    <row r="2">
      <c r="O2" s="2" t="inlineStr">
        <is>
          <t>Barème de remboursement (référence)</t>
        </is>
      </c>
    </row>
    <row r="3">
      <c r="A3" s="3" t="inlineStr">
        <is>
          <t>Date de soin</t>
        </is>
      </c>
      <c r="B3" s="3" t="inlineStr">
        <is>
          <t>Patient</t>
        </is>
      </c>
      <c r="C3" s="3" t="inlineStr">
        <is>
          <t>Type de soin</t>
        </is>
      </c>
      <c r="D3" s="3" t="inlineStr">
        <is>
          <t>Ville</t>
        </is>
      </c>
      <c r="E3" s="3" t="inlineStr">
        <is>
          <t>Montant facturé (€)</t>
        </is>
      </c>
      <c r="F3" s="3" t="inlineStr">
        <is>
          <t>Base remb. Sécu (€)</t>
        </is>
      </c>
      <c r="G3" s="3" t="inlineStr">
        <is>
          <t>Taux Sécu (%)</t>
        </is>
      </c>
      <c r="H3" s="3" t="inlineStr">
        <is>
          <t>Remb. Sécu (€)</t>
        </is>
      </c>
      <c r="I3" s="3" t="inlineStr">
        <is>
          <t>Taux Mutuelle (%)</t>
        </is>
      </c>
      <c r="J3" s="3" t="inlineStr">
        <is>
          <t>Remb. Mutuelle (€)</t>
        </is>
      </c>
      <c r="K3" s="3" t="inlineStr">
        <is>
          <t>Total remboursé (€)</t>
        </is>
      </c>
      <c r="L3" s="3" t="inlineStr">
        <is>
          <t>Reste à charge (€)</t>
        </is>
      </c>
      <c r="M3" s="3" t="inlineStr">
        <is>
          <t>Statut</t>
        </is>
      </c>
      <c r="O3" s="4" t="inlineStr">
        <is>
          <t>Type de soin</t>
        </is>
      </c>
      <c r="P3" s="4" t="inlineStr">
        <is>
          <t>Taux Sécu</t>
        </is>
      </c>
      <c r="Q3" s="4" t="inlineStr">
        <is>
          <t>Taux Mutuelle</t>
        </is>
      </c>
    </row>
    <row r="4">
      <c r="A4" s="5" t="n">
        <v>46034</v>
      </c>
      <c r="B4" s="6" t="inlineStr">
        <is>
          <t>Camille Bernard</t>
        </is>
      </c>
      <c r="C4" s="7" t="inlineStr">
        <is>
          <t>Consultation généraliste</t>
        </is>
      </c>
      <c r="D4" s="7" t="inlineStr">
        <is>
          <t>Paris</t>
        </is>
      </c>
      <c r="E4" s="8" t="n">
        <v>50</v>
      </c>
      <c r="F4" s="8" t="n">
        <v>25</v>
      </c>
      <c r="G4" s="9">
        <f>IFERROR(VLOOKUP(C4,$O$4:$Q$11,2,0),0)</f>
        <v/>
      </c>
      <c r="H4" s="8">
        <f>ROUND(F4*G4,2)</f>
        <v/>
      </c>
      <c r="I4" s="9">
        <f>IFERROR(VLOOKUP(C4,$O$4:$Q$11,3,0),0)</f>
        <v/>
      </c>
      <c r="J4" s="8">
        <f>ROUND(MAX(0,E4-H4)*I4,2)</f>
        <v/>
      </c>
      <c r="K4" s="8">
        <f>H4+J4</f>
        <v/>
      </c>
      <c r="L4" s="8">
        <f>E4-K4</f>
        <v/>
      </c>
      <c r="M4" s="10">
        <f>IF(L4&lt;=0,"Intégralement remboursé",IF(L4&lt;E4*0.2,"Remboursement partiel","Reste à charge élevé"))</f>
        <v/>
      </c>
      <c r="O4" s="11" t="inlineStr">
        <is>
          <t>Consultation généraliste</t>
        </is>
      </c>
      <c r="P4" s="9" t="n">
        <v>0.7</v>
      </c>
      <c r="Q4" s="9" t="n">
        <v>0.3</v>
      </c>
    </row>
    <row r="5">
      <c r="A5" s="5" t="n">
        <v>46056</v>
      </c>
      <c r="B5" s="6" t="inlineStr">
        <is>
          <t>Julien Petit</t>
        </is>
      </c>
      <c r="C5" s="7" t="inlineStr">
        <is>
          <t>Dentaire</t>
        </is>
      </c>
      <c r="D5" s="7" t="inlineStr">
        <is>
          <t>Lyon</t>
        </is>
      </c>
      <c r="E5" s="12" t="n">
        <v>950</v>
      </c>
      <c r="F5" s="12" t="n">
        <v>107</v>
      </c>
      <c r="G5" s="13">
        <f>IFERROR(VLOOKUP(C5,$O$4:$Q$11,2,0),0)</f>
        <v/>
      </c>
      <c r="H5" s="12">
        <f>ROUND(F5*G5,2)</f>
        <v/>
      </c>
      <c r="I5" s="13">
        <f>IFERROR(VLOOKUP(C5,$O$4:$Q$11,3,0),0)</f>
        <v/>
      </c>
      <c r="J5" s="12">
        <f>ROUND(MAX(0,E5-H5)*I5,2)</f>
        <v/>
      </c>
      <c r="K5" s="12">
        <f>H5+J5</f>
        <v/>
      </c>
      <c r="L5" s="12">
        <f>E5-K5</f>
        <v/>
      </c>
      <c r="M5" s="14">
        <f>IF(L5&lt;=0,"Intégralement remboursé",IF(L5&lt;E5*0.2,"Remboursement partiel","Reste à charge élevé"))</f>
        <v/>
      </c>
      <c r="O5" s="15" t="inlineStr">
        <is>
          <t>Consultation spécialiste</t>
        </is>
      </c>
      <c r="P5" s="13" t="n">
        <v>0.7</v>
      </c>
      <c r="Q5" s="13" t="n">
        <v>0.3</v>
      </c>
    </row>
    <row r="6">
      <c r="A6" s="5" t="n">
        <v>46071</v>
      </c>
      <c r="B6" s="6" t="inlineStr">
        <is>
          <t>Chloé Martin</t>
        </is>
      </c>
      <c r="C6" s="7" t="inlineStr">
        <is>
          <t>Optique</t>
        </is>
      </c>
      <c r="D6" s="7" t="inlineStr">
        <is>
          <t>Marseille</t>
        </is>
      </c>
      <c r="E6" s="8" t="n">
        <v>380</v>
      </c>
      <c r="F6" s="8" t="n">
        <v>200</v>
      </c>
      <c r="G6" s="9">
        <f>IFERROR(VLOOKUP(C6,$O$4:$Q$11,2,0),0)</f>
        <v/>
      </c>
      <c r="H6" s="8">
        <f>ROUND(F6*G6,2)</f>
        <v/>
      </c>
      <c r="I6" s="9">
        <f>IFERROR(VLOOKUP(C6,$O$4:$Q$11,3,0),0)</f>
        <v/>
      </c>
      <c r="J6" s="8">
        <f>ROUND(MAX(0,E6-H6)*I6,2)</f>
        <v/>
      </c>
      <c r="K6" s="8">
        <f>H6+J6</f>
        <v/>
      </c>
      <c r="L6" s="8">
        <f>E6-K6</f>
        <v/>
      </c>
      <c r="M6" s="10">
        <f>IF(L6&lt;=0,"Intégralement remboursé",IF(L6&lt;E6*0.2,"Remboursement partiel","Reste à charge élevé"))</f>
        <v/>
      </c>
      <c r="O6" s="11" t="inlineStr">
        <is>
          <t>Dentaire</t>
        </is>
      </c>
      <c r="P6" s="9" t="n">
        <v>0.7</v>
      </c>
      <c r="Q6" s="9" t="n">
        <v>0.6</v>
      </c>
    </row>
    <row r="7">
      <c r="A7" s="5" t="n">
        <v>46086</v>
      </c>
      <c r="B7" s="6" t="inlineStr">
        <is>
          <t>Thomas Robert</t>
        </is>
      </c>
      <c r="C7" s="7" t="inlineStr">
        <is>
          <t>Consultation spécialiste</t>
        </is>
      </c>
      <c r="D7" s="7" t="inlineStr">
        <is>
          <t>Toulouse</t>
        </is>
      </c>
      <c r="E7" s="12" t="n">
        <v>60</v>
      </c>
      <c r="F7" s="12" t="n">
        <v>30</v>
      </c>
      <c r="G7" s="13">
        <f>IFERROR(VLOOKUP(C7,$O$4:$Q$11,2,0),0)</f>
        <v/>
      </c>
      <c r="H7" s="12">
        <f>ROUND(F7*G7,2)</f>
        <v/>
      </c>
      <c r="I7" s="13">
        <f>IFERROR(VLOOKUP(C7,$O$4:$Q$11,3,0),0)</f>
        <v/>
      </c>
      <c r="J7" s="12">
        <f>ROUND(MAX(0,E7-H7)*I7,2)</f>
        <v/>
      </c>
      <c r="K7" s="12">
        <f>H7+J7</f>
        <v/>
      </c>
      <c r="L7" s="12">
        <f>E7-K7</f>
        <v/>
      </c>
      <c r="M7" s="14">
        <f>IF(L7&lt;=0,"Intégralement remboursé",IF(L7&lt;E7*0.2,"Remboursement partiel","Reste à charge élevé"))</f>
        <v/>
      </c>
      <c r="O7" s="15" t="inlineStr">
        <is>
          <t>Optique</t>
        </is>
      </c>
      <c r="P7" s="13" t="n">
        <v>0.6</v>
      </c>
      <c r="Q7" s="13" t="n">
        <v>0.8</v>
      </c>
    </row>
    <row r="8">
      <c r="A8" s="5" t="n">
        <v>46103</v>
      </c>
      <c r="B8" s="6" t="inlineStr">
        <is>
          <t>Léa Dubois</t>
        </is>
      </c>
      <c r="C8" s="7" t="inlineStr">
        <is>
          <t>Pharmacie</t>
        </is>
      </c>
      <c r="D8" s="7" t="inlineStr">
        <is>
          <t>Bordeaux</t>
        </is>
      </c>
      <c r="E8" s="8" t="n">
        <v>45</v>
      </c>
      <c r="F8" s="8" t="n">
        <v>40</v>
      </c>
      <c r="G8" s="9">
        <f>IFERROR(VLOOKUP(C8,$O$4:$Q$11,2,0),0)</f>
        <v/>
      </c>
      <c r="H8" s="8">
        <f>ROUND(F8*G8,2)</f>
        <v/>
      </c>
      <c r="I8" s="9">
        <f>IFERROR(VLOOKUP(C8,$O$4:$Q$11,3,0),0)</f>
        <v/>
      </c>
      <c r="J8" s="8">
        <f>ROUND(MAX(0,E8-H8)*I8,2)</f>
        <v/>
      </c>
      <c r="K8" s="8">
        <f>H8+J8</f>
        <v/>
      </c>
      <c r="L8" s="8">
        <f>E8-K8</f>
        <v/>
      </c>
      <c r="M8" s="10">
        <f>IF(L8&lt;=0,"Intégralement remboursé",IF(L8&lt;E8*0.2,"Remboursement partiel","Reste à charge élevé"))</f>
        <v/>
      </c>
      <c r="O8" s="11" t="inlineStr">
        <is>
          <t>Pharmacie</t>
        </is>
      </c>
      <c r="P8" s="9" t="n">
        <v>0.65</v>
      </c>
      <c r="Q8" s="9" t="n">
        <v>0.35</v>
      </c>
    </row>
    <row r="9">
      <c r="A9" s="5" t="n">
        <v>46121</v>
      </c>
      <c r="B9" s="6" t="inlineStr">
        <is>
          <t>Nicolas Moreau</t>
        </is>
      </c>
      <c r="C9" s="7" t="inlineStr">
        <is>
          <t>Kinésithérapie</t>
        </is>
      </c>
      <c r="D9" s="7" t="inlineStr">
        <is>
          <t>Lille</t>
        </is>
      </c>
      <c r="E9" s="12" t="n">
        <v>30</v>
      </c>
      <c r="F9" s="12" t="n">
        <v>16.5</v>
      </c>
      <c r="G9" s="13">
        <f>IFERROR(VLOOKUP(C9,$O$4:$Q$11,2,0),0)</f>
        <v/>
      </c>
      <c r="H9" s="12">
        <f>ROUND(F9*G9,2)</f>
        <v/>
      </c>
      <c r="I9" s="13">
        <f>IFERROR(VLOOKUP(C9,$O$4:$Q$11,3,0),0)</f>
        <v/>
      </c>
      <c r="J9" s="12">
        <f>ROUND(MAX(0,E9-H9)*I9,2)</f>
        <v/>
      </c>
      <c r="K9" s="12">
        <f>H9+J9</f>
        <v/>
      </c>
      <c r="L9" s="12">
        <f>E9-K9</f>
        <v/>
      </c>
      <c r="M9" s="14">
        <f>IF(L9&lt;=0,"Intégralement remboursé",IF(L9&lt;E9*0.2,"Remboursement partiel","Reste à charge élevé"))</f>
        <v/>
      </c>
      <c r="O9" s="15" t="inlineStr">
        <is>
          <t>Kinésithérapie</t>
        </is>
      </c>
      <c r="P9" s="13" t="n">
        <v>0.6</v>
      </c>
      <c r="Q9" s="13" t="n">
        <v>0.4</v>
      </c>
    </row>
    <row r="10">
      <c r="A10" s="5" t="n">
        <v>46156</v>
      </c>
      <c r="B10" s="6" t="inlineStr">
        <is>
          <t>Manon Simon</t>
        </is>
      </c>
      <c r="C10" s="7" t="inlineStr">
        <is>
          <t>Hospitalisation</t>
        </is>
      </c>
      <c r="D10" s="7" t="inlineStr">
        <is>
          <t>Nantes</t>
        </is>
      </c>
      <c r="E10" s="8" t="n">
        <v>1200</v>
      </c>
      <c r="F10" s="8" t="n">
        <v>120</v>
      </c>
      <c r="G10" s="9">
        <f>IFERROR(VLOOKUP(C10,$O$4:$Q$11,2,0),0)</f>
        <v/>
      </c>
      <c r="H10" s="8">
        <f>ROUND(F10*G10,2)</f>
        <v/>
      </c>
      <c r="I10" s="9">
        <f>IFERROR(VLOOKUP(C10,$O$4:$Q$11,3,0),0)</f>
        <v/>
      </c>
      <c r="J10" s="8">
        <f>ROUND(MAX(0,E10-H10)*I10,2)</f>
        <v/>
      </c>
      <c r="K10" s="8">
        <f>H10+J10</f>
        <v/>
      </c>
      <c r="L10" s="8">
        <f>E10-K10</f>
        <v/>
      </c>
      <c r="M10" s="10">
        <f>IF(L10&lt;=0,"Intégralement remboursé",IF(L10&lt;E10*0.2,"Remboursement partiel","Reste à charge élevé"))</f>
        <v/>
      </c>
      <c r="O10" s="11" t="inlineStr">
        <is>
          <t>Hospitalisation</t>
        </is>
      </c>
      <c r="P10" s="9" t="n">
        <v>0.8</v>
      </c>
      <c r="Q10" s="9" t="n">
        <v>0.2</v>
      </c>
    </row>
    <row r="11">
      <c r="A11" s="5" t="n">
        <v>46172</v>
      </c>
      <c r="B11" s="6" t="inlineStr">
        <is>
          <t>Hugo Laurent</t>
        </is>
      </c>
      <c r="C11" s="7" t="inlineStr">
        <is>
          <t>Analyses laboratoire</t>
        </is>
      </c>
      <c r="D11" s="7" t="inlineStr">
        <is>
          <t>Strasbourg</t>
        </is>
      </c>
      <c r="E11" s="12" t="n">
        <v>90</v>
      </c>
      <c r="F11" s="12" t="n">
        <v>60</v>
      </c>
      <c r="G11" s="13">
        <f>IFERROR(VLOOKUP(C11,$O$4:$Q$11,2,0),0)</f>
        <v/>
      </c>
      <c r="H11" s="12">
        <f>ROUND(F11*G11,2)</f>
        <v/>
      </c>
      <c r="I11" s="13">
        <f>IFERROR(VLOOKUP(C11,$O$4:$Q$11,3,0),0)</f>
        <v/>
      </c>
      <c r="J11" s="12">
        <f>ROUND(MAX(0,E11-H11)*I11,2)</f>
        <v/>
      </c>
      <c r="K11" s="12">
        <f>H11+J11</f>
        <v/>
      </c>
      <c r="L11" s="12">
        <f>E11-K11</f>
        <v/>
      </c>
      <c r="M11" s="14">
        <f>IF(L11&lt;=0,"Intégralement remboursé",IF(L11&lt;E11*0.2,"Remboursement partiel","Reste à charge élevé"))</f>
        <v/>
      </c>
      <c r="O11" s="15" t="inlineStr">
        <is>
          <t>Analyses laboratoire</t>
        </is>
      </c>
      <c r="P11" s="13" t="n">
        <v>0.6</v>
      </c>
      <c r="Q11" s="13" t="n">
        <v>0.4</v>
      </c>
    </row>
    <row r="12">
      <c r="A12" s="5" t="n">
        <v>46184</v>
      </c>
      <c r="B12" s="6" t="inlineStr">
        <is>
          <t>Émilie Girard</t>
        </is>
      </c>
      <c r="C12" s="7" t="inlineStr">
        <is>
          <t>Dentaire</t>
        </is>
      </c>
      <c r="D12" s="7" t="inlineStr">
        <is>
          <t>Nice</t>
        </is>
      </c>
      <c r="E12" s="8" t="n">
        <v>620</v>
      </c>
      <c r="F12" s="8" t="n">
        <v>107</v>
      </c>
      <c r="G12" s="9">
        <f>IFERROR(VLOOKUP(C12,$O$4:$Q$11,2,0),0)</f>
        <v/>
      </c>
      <c r="H12" s="8">
        <f>ROUND(F12*G12,2)</f>
        <v/>
      </c>
      <c r="I12" s="9">
        <f>IFERROR(VLOOKUP(C12,$O$4:$Q$11,3,0),0)</f>
        <v/>
      </c>
      <c r="J12" s="8">
        <f>ROUND(MAX(0,E12-H12)*I12,2)</f>
        <v/>
      </c>
      <c r="K12" s="8">
        <f>H12+J12</f>
        <v/>
      </c>
      <c r="L12" s="8">
        <f>E12-K12</f>
        <v/>
      </c>
      <c r="M12" s="10">
        <f>IF(L12&lt;=0,"Intégralement remboursé",IF(L12&lt;E12*0.2,"Remboursement partiel","Reste à charge élevé"))</f>
        <v/>
      </c>
    </row>
    <row r="13">
      <c r="A13" s="5" t="n">
        <v>46200</v>
      </c>
      <c r="B13" s="6" t="inlineStr">
        <is>
          <t>Lucas Fontaine</t>
        </is>
      </c>
      <c r="C13" s="7" t="inlineStr">
        <is>
          <t>Consultation généraliste</t>
        </is>
      </c>
      <c r="D13" s="7" t="inlineStr">
        <is>
          <t>Rennes</t>
        </is>
      </c>
      <c r="E13" s="12" t="n">
        <v>25</v>
      </c>
      <c r="F13" s="12" t="n">
        <v>25</v>
      </c>
      <c r="G13" s="13">
        <f>IFERROR(VLOOKUP(C13,$O$4:$Q$11,2,0),0)</f>
        <v/>
      </c>
      <c r="H13" s="12">
        <f>ROUND(F13*G13,2)</f>
        <v/>
      </c>
      <c r="I13" s="13">
        <f>IFERROR(VLOOKUP(C13,$O$4:$Q$11,3,0),0)</f>
        <v/>
      </c>
      <c r="J13" s="12">
        <f>ROUND(MAX(0,E13-H13)*I13,2)</f>
        <v/>
      </c>
      <c r="K13" s="12">
        <f>H13+J13</f>
        <v/>
      </c>
      <c r="L13" s="12">
        <f>E13-K13</f>
        <v/>
      </c>
      <c r="M13" s="14">
        <f>IF(L13&lt;=0,"Intégralement remboursé",IF(L13&lt;E13*0.2,"Remboursement partiel","Reste à charge élevé"))</f>
        <v/>
      </c>
    </row>
    <row r="14">
      <c r="A14" s="16" t="n"/>
      <c r="B14" s="16" t="inlineStr">
        <is>
          <t>TOTAUX</t>
        </is>
      </c>
      <c r="C14" s="16" t="n"/>
      <c r="D14" s="16" t="n"/>
      <c r="E14" s="17">
        <f>SUM(E4:E13)</f>
        <v/>
      </c>
      <c r="F14" s="17">
        <f>SUM(F4:F13)</f>
        <v/>
      </c>
      <c r="G14" s="16" t="n"/>
      <c r="H14" s="17">
        <f>SUM(H4:H13)</f>
        <v/>
      </c>
      <c r="I14" s="16" t="n"/>
      <c r="J14" s="17">
        <f>SUM(J4:J13)</f>
        <v/>
      </c>
      <c r="K14" s="17">
        <f>SUM(K4:K13)</f>
        <v/>
      </c>
      <c r="L14" s="17">
        <f>SUM(L4:L13)</f>
        <v/>
      </c>
      <c r="M14" s="16" t="n"/>
    </row>
  </sheetData>
  <mergeCells count="2">
    <mergeCell ref="A1:M1"/>
    <mergeCell ref="O2:Q2"/>
  </mergeCells>
  <conditionalFormatting sqref="L4:L13">
    <cfRule type="expression" priority="1" dxfId="0" stopIfTrue="1">
      <formula>L4&gt;200</formula>
    </cfRule>
  </conditionalFormatting>
  <conditionalFormatting sqref="M4:M13">
    <cfRule type="expression" priority="2" dxfId="1">
      <formula>M4="Intégralement remboursé"</formula>
    </cfRule>
  </conditionalFormatting>
  <dataValidations count="1">
    <dataValidation sqref="C4:C13" showErrorMessage="1" showInputMessage="1" allowBlank="1" error="Veuillez choisir un type de soin dans la liste." prompt="Sélectionnez un type de soin" type="list">
      <formula1>=$O$4:$O$11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3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4" customHeight="1">
      <c r="A1" s="18" t="inlineStr">
        <is>
          <t>Tableau de bord — Remboursements mutuelle</t>
        </is>
      </c>
    </row>
    <row r="3">
      <c r="A3" s="3" t="inlineStr">
        <is>
          <t>Indicateur</t>
        </is>
      </c>
      <c r="B3" s="3" t="inlineStr">
        <is>
          <t>Valeur</t>
        </is>
      </c>
      <c r="E3" s="4" t="inlineStr">
        <is>
          <t>Type de soin</t>
        </is>
      </c>
      <c r="F3" s="4" t="inlineStr">
        <is>
          <t>Montant facturé</t>
        </is>
      </c>
    </row>
    <row r="4">
      <c r="A4" s="19" t="inlineStr">
        <is>
          <t>Total facturé</t>
        </is>
      </c>
      <c r="B4" s="8">
        <f>Remboursements!E14</f>
        <v/>
      </c>
      <c r="E4" s="11" t="inlineStr">
        <is>
          <t>Consultation généraliste</t>
        </is>
      </c>
      <c r="F4" s="8">
        <f>SUMIF(Remboursements!$C$4:$C$13,E4,Remboursements!$E$4:$E$13)</f>
        <v/>
      </c>
    </row>
    <row r="5">
      <c r="A5" s="20" t="inlineStr">
        <is>
          <t>Total remboursé Sécu</t>
        </is>
      </c>
      <c r="B5" s="12">
        <f>Remboursements!H14</f>
        <v/>
      </c>
      <c r="E5" s="15" t="inlineStr">
        <is>
          <t>Consultation spécialiste</t>
        </is>
      </c>
      <c r="F5" s="12">
        <f>SUMIF(Remboursements!$C$4:$C$13,E5,Remboursements!$E$4:$E$13)</f>
        <v/>
      </c>
    </row>
    <row r="6">
      <c r="A6" s="19" t="inlineStr">
        <is>
          <t>Total remboursé Mutuelle</t>
        </is>
      </c>
      <c r="B6" s="8">
        <f>Remboursements!J14</f>
        <v/>
      </c>
      <c r="E6" s="11" t="inlineStr">
        <is>
          <t>Dentaire</t>
        </is>
      </c>
      <c r="F6" s="8">
        <f>SUMIF(Remboursements!$C$4:$C$13,E6,Remboursements!$E$4:$E$13)</f>
        <v/>
      </c>
    </row>
    <row r="7">
      <c r="A7" s="20" t="inlineStr">
        <is>
          <t>Total reste à charge</t>
        </is>
      </c>
      <c r="B7" s="12">
        <f>Remboursements!L14</f>
        <v/>
      </c>
      <c r="E7" s="15" t="inlineStr">
        <is>
          <t>Optique</t>
        </is>
      </c>
      <c r="F7" s="12">
        <f>SUMIF(Remboursements!$C$4:$C$13,E7,Remboursements!$E$4:$E$13)</f>
        <v/>
      </c>
    </row>
    <row r="8">
      <c r="A8" s="19" t="inlineStr">
        <is>
          <t>Taux moyen de couverture</t>
        </is>
      </c>
      <c r="B8" s="9">
        <f>IFERROR((Remboursements!H14+Remboursements!J14)/Remboursements!E14,0)</f>
        <v/>
      </c>
      <c r="E8" s="11" t="inlineStr">
        <is>
          <t>Pharmacie</t>
        </is>
      </c>
      <c r="F8" s="8">
        <f>SUMIF(Remboursements!$C$4:$C$13,E8,Remboursements!$E$4:$E$13)</f>
        <v/>
      </c>
    </row>
    <row r="9">
      <c r="A9" s="20" t="inlineStr">
        <is>
          <t>Nombre de soins</t>
        </is>
      </c>
      <c r="B9" s="21">
        <f>COUNTA(Remboursements!B4:B13)</f>
        <v/>
      </c>
      <c r="E9" s="15" t="inlineStr">
        <is>
          <t>Kinésithérapie</t>
        </is>
      </c>
      <c r="F9" s="12">
        <f>SUMIF(Remboursements!$C$4:$C$13,E9,Remboursements!$E$4:$E$13)</f>
        <v/>
      </c>
    </row>
    <row r="10">
      <c r="E10" s="11" t="inlineStr">
        <is>
          <t>Hospitalisation</t>
        </is>
      </c>
      <c r="F10" s="8">
        <f>SUMIF(Remboursements!$C$4:$C$13,E10,Remboursements!$E$4:$E$13)</f>
        <v/>
      </c>
    </row>
    <row r="11">
      <c r="E11" s="15" t="inlineStr">
        <is>
          <t>Analyses laboratoire</t>
        </is>
      </c>
      <c r="F11" s="12">
        <f>SUMIF(Remboursements!$C$4:$C$13,E11,Remboursements!$E$4:$E$13)</f>
        <v/>
      </c>
    </row>
    <row r="13">
      <c r="A13" s="22" t="inlineStr">
        <is>
          <t>Répartition du financement</t>
        </is>
      </c>
      <c r="B13" s="23" t="n"/>
    </row>
    <row r="14">
      <c r="A14" s="24" t="inlineStr">
        <is>
          <t>Remboursé Sécu</t>
        </is>
      </c>
      <c r="B14" s="25">
        <f>Remboursements!H14</f>
        <v/>
      </c>
    </row>
    <row r="15">
      <c r="A15" s="26" t="inlineStr">
        <is>
          <t>Remboursé Mutuelle</t>
        </is>
      </c>
      <c r="B15" s="27">
        <f>Remboursements!J14</f>
        <v/>
      </c>
    </row>
    <row r="16">
      <c r="A16" s="24" t="inlineStr">
        <is>
          <t>Reste à charge</t>
        </is>
      </c>
      <c r="B16" s="25">
        <f>Remboursements!L14</f>
        <v/>
      </c>
    </row>
  </sheetData>
  <mergeCells count="2">
    <mergeCell ref="A1:F1"/>
    <mergeCell ref="A13:B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2" customWidth="1" min="3" max="3"/>
    <col width="22" customWidth="1" min="4" max="4"/>
  </cols>
  <sheetData>
    <row r="1" ht="24" customHeight="1">
      <c r="A1" s="18" t="inlineStr">
        <is>
          <t>Mode d'emploi — Simulateur de remboursement mutuelle</t>
        </is>
      </c>
    </row>
    <row r="3">
      <c r="A3" s="3" t="inlineStr">
        <is>
          <t>Feuille</t>
        </is>
      </c>
      <c r="B3" s="3" t="inlineStr">
        <is>
          <t>Description</t>
        </is>
      </c>
      <c r="C3" s="28" t="n"/>
      <c r="D3" s="28" t="n"/>
    </row>
    <row r="4" ht="45" customHeight="1">
      <c r="A4" s="29" t="inlineStr">
        <is>
          <t>Remboursements</t>
        </is>
      </c>
      <c r="B4" s="30" t="inlineStr">
        <is>
          <t>Saisissez les soins (date, patient, type, ville, montants) dans les cellules jaunes. Les taux Sécu et Mutuelle sont récupérés automatiquement dans le barème (colonnes O à Q) via VLOOKUP. Les remboursements et le reste à charge sont calculés automatiquement.</t>
        </is>
      </c>
      <c r="C4" s="24" t="n"/>
      <c r="D4" s="24" t="n"/>
    </row>
    <row r="5" ht="45" customHeight="1">
      <c r="A5" s="31" t="inlineStr">
        <is>
          <t>Tableau de bord</t>
        </is>
      </c>
      <c r="B5" s="32" t="inlineStr">
        <is>
          <t>Synthèse automatique : total facturé, remboursé Sécu, remboursé Mutuelle, reste à charge, taux moyen de couverture, répartition par type de soin et graphiques (camembert et barres).</t>
        </is>
      </c>
      <c r="C5" s="26" t="n"/>
      <c r="D5" s="26" t="n"/>
    </row>
    <row r="6" ht="45" customHeight="1">
      <c r="A6" s="29" t="inlineStr">
        <is>
          <t>Mode d'emploi</t>
        </is>
      </c>
      <c r="B6" s="30" t="inlineStr">
        <is>
          <t>Cette feuille : explication du fonctionnement du classeur.</t>
        </is>
      </c>
      <c r="C6" s="24" t="n"/>
      <c r="D6" s="24" t="n"/>
    </row>
    <row r="9">
      <c r="A9" s="33" t="inlineStr">
        <is>
          <t>Colonnes clés de la feuille « Remboursements »</t>
        </is>
      </c>
      <c r="B9" s="23" t="n"/>
      <c r="C9" s="23" t="n"/>
      <c r="D9" s="23" t="n"/>
    </row>
    <row r="10">
      <c r="A10" s="29" t="inlineStr">
        <is>
          <t>Montant facturé (€)</t>
        </is>
      </c>
      <c r="B10" s="30" t="inlineStr">
        <is>
          <t>Montant total payé chez le praticien.</t>
        </is>
      </c>
      <c r="C10" s="24" t="n"/>
      <c r="D10" s="24" t="n"/>
    </row>
    <row r="11">
      <c r="A11" s="31" t="inlineStr">
        <is>
          <t>Base remb. Sécu (€)</t>
        </is>
      </c>
      <c r="B11" s="32" t="inlineStr">
        <is>
          <t>Base de remboursement retenue par l'Assurance Maladie (BRSS).</t>
        </is>
      </c>
      <c r="C11" s="26" t="n"/>
      <c r="D11" s="26" t="n"/>
    </row>
    <row r="12">
      <c r="A12" s="29" t="inlineStr">
        <is>
          <t>Taux Sécu (%)</t>
        </is>
      </c>
      <c r="B12" s="30" t="inlineStr">
        <is>
          <t>Taux appliqué par la Sécurité sociale, issu du barème.</t>
        </is>
      </c>
      <c r="C12" s="24" t="n"/>
      <c r="D12" s="24" t="n"/>
    </row>
    <row r="13">
      <c r="A13" s="31" t="inlineStr">
        <is>
          <t>Remb. Sécu (€)</t>
        </is>
      </c>
      <c r="B13" s="32">
        <f> Base remb. Sécu x Taux Sécu</f>
        <v/>
      </c>
      <c r="C13" s="26" t="n"/>
      <c r="D13" s="26" t="n"/>
    </row>
    <row r="14">
      <c r="A14" s="29" t="inlineStr">
        <is>
          <t>Taux Mutuelle (%)</t>
        </is>
      </c>
      <c r="B14" s="30" t="inlineStr">
        <is>
          <t>Taux de complément versé par la mutuelle, issu du barème.</t>
        </is>
      </c>
      <c r="C14" s="24" t="n"/>
      <c r="D14" s="24" t="n"/>
    </row>
    <row r="15">
      <c r="A15" s="31" t="inlineStr">
        <is>
          <t>Remb. Mutuelle (€)</t>
        </is>
      </c>
      <c r="B15" s="32">
        <f> (Montant facturé - Remb. Sécu) x Taux Mutuelle</f>
        <v/>
      </c>
      <c r="C15" s="26" t="n"/>
      <c r="D15" s="26" t="n"/>
    </row>
    <row r="16">
      <c r="A16" s="29" t="inlineStr">
        <is>
          <t>Reste à charge (€)</t>
        </is>
      </c>
      <c r="B16" s="30">
        <f> Montant facturé - Remb. Sécu - Remb. Mutuelle</f>
        <v/>
      </c>
      <c r="C16" s="24" t="n"/>
      <c r="D16" s="24" t="n"/>
    </row>
    <row r="17">
      <c r="A17" s="31" t="inlineStr">
        <is>
          <t>Statut</t>
        </is>
      </c>
      <c r="B17" s="32" t="inlineStr">
        <is>
          <t>Indique si le soin est intégralement remboursé, partiellement remboursé, ou avec un reste à charge élevé.</t>
        </is>
      </c>
      <c r="C17" s="26" t="n"/>
      <c r="D17" s="26" t="n"/>
    </row>
  </sheetData>
  <mergeCells count="14">
    <mergeCell ref="A1:D1"/>
    <mergeCell ref="B3:D3"/>
    <mergeCell ref="B4:D4"/>
    <mergeCell ref="B5:D5"/>
    <mergeCell ref="B6:D6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2026-07-20T08:41:19Z</dcterms:created>
  <dcterms:modified xmlns:dcterms="http://purl.org/dc/terms/" xmlns:xsi="http://www.w3.org/2001/XMLSchema-instance" xsi:type="dcterms:W3CDTF">2026-07-20T08:41:19Z</dcterms:modified>
</cp:coreProperties>
</file>