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Troupeau" sheetId="1" state="visible" r:id="rId1"/>
    <sheet xmlns:r="http://schemas.openxmlformats.org/officeDocument/2006/relationships" name="Alimentation &amp; Santé" sheetId="2" state="visible" r:id="rId2"/>
    <sheet xmlns:r="http://schemas.openxmlformats.org/officeDocument/2006/relationships" name="Synthèse" sheetId="3" state="visible" r:id="rId3"/>
    <sheet xmlns:r="http://schemas.openxmlformats.org/officeDocument/2006/relationships" name="Mode d'emploi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4">
    <numFmt numFmtId="164" formatCode="DD/MM/YYYY"/>
    <numFmt numFmtId="165" formatCode="#,##0.0"/>
    <numFmt numFmtId="166" formatCode="#,##0.00&quot; €&quot;"/>
    <numFmt numFmtId="167" formatCode="0.0%"/>
  </numFmts>
  <fonts count="9">
    <font>
      <name val="Calibri"/>
      <family val="2"/>
      <color theme="1"/>
      <sz val="11"/>
      <scheme val="minor"/>
    </font>
    <font>
      <b val="1"/>
      <color rgb="00FFFFFF"/>
      <sz val="14"/>
    </font>
    <font>
      <b val="1"/>
      <color rgb="00FFFFFF"/>
      <sz val="11"/>
    </font>
    <font>
      <b val="1"/>
      <sz val="10"/>
    </font>
    <font>
      <b val="1"/>
      <sz val="11"/>
    </font>
    <font>
      <b val="1"/>
    </font>
    <font>
      <b val="1"/>
      <color rgb="00FFFFFF"/>
      <sz val="10"/>
    </font>
    <font>
      <sz val="10"/>
    </font>
    <font>
      <b val="1"/>
      <color rgb="000E7A54"/>
      <sz val="10"/>
    </font>
  </fonts>
  <fills count="8">
    <fill>
      <patternFill/>
    </fill>
    <fill>
      <patternFill patternType="gray125"/>
    </fill>
    <fill>
      <patternFill patternType="solid">
        <fgColor rgb="000E7A54"/>
        <bgColor rgb="000E7A54"/>
      </patternFill>
    </fill>
    <fill>
      <patternFill patternType="solid">
        <fgColor rgb="00FFFBEB"/>
        <bgColor rgb="00FFFBEB"/>
      </patternFill>
    </fill>
    <fill>
      <patternFill patternType="solid">
        <fgColor rgb="00EAF7F1"/>
        <bgColor rgb="00EAF7F1"/>
      </patternFill>
    </fill>
    <fill>
      <patternFill patternType="solid">
        <fgColor rgb="00FFFFFF"/>
        <bgColor rgb="00FFFFFF"/>
      </patternFill>
    </fill>
    <fill>
      <patternFill patternType="solid">
        <fgColor rgb="00F97316"/>
        <bgColor rgb="00F97316"/>
      </patternFill>
    </fill>
    <fill>
      <patternFill patternType="solid">
        <fgColor rgb="0012946A"/>
        <bgColor rgb="0012946A"/>
      </patternFill>
    </fill>
  </fills>
  <borders count="6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  <border>
      <left/>
      <right/>
      <top style="thin">
        <color rgb="00D1D5DB"/>
      </top>
      <bottom/>
      <diagonal/>
    </border>
    <border>
      <left/>
      <right style="thin">
        <color rgb="00D1D5DB"/>
      </right>
      <top style="thin">
        <color rgb="00D1D5DB"/>
      </top>
      <bottom/>
      <diagonal/>
    </border>
    <border>
      <left/>
      <right/>
      <top style="thin">
        <color rgb="00D1D5DB"/>
      </top>
      <bottom style="thin">
        <color rgb="00D1D5DB"/>
      </bottom>
      <diagonal/>
    </border>
    <border>
      <left/>
      <right style="thin">
        <color rgb="00D1D5DB"/>
      </right>
      <top style="thin">
        <color rgb="00D1D5DB"/>
      </top>
      <bottom style="thin">
        <color rgb="00D1D5DB"/>
      </bottom>
      <diagonal/>
    </border>
  </borders>
  <cellStyleXfs count="1">
    <xf numFmtId="0" fontId="0" fillId="0" borderId="0"/>
  </cellStyleXfs>
  <cellXfs count="75">
    <xf numFmtId="0" fontId="0" fillId="0" borderId="0" pivotButton="0" quotePrefix="0" xfId="0"/>
    <xf numFmtId="0" fontId="1" fillId="2" borderId="0" applyAlignment="1" pivotButton="0" quotePrefix="0" xfId="0">
      <alignment horizontal="center" vertical="center" wrapText="1"/>
    </xf>
    <xf numFmtId="0" fontId="2" fillId="2" borderId="1" applyAlignment="1" pivotButton="0" quotePrefix="0" xfId="0">
      <alignment horizontal="center" vertical="center" wrapText="1"/>
    </xf>
    <xf numFmtId="0" fontId="0" fillId="4" borderId="1" applyAlignment="1" pivotButton="0" quotePrefix="0" xfId="0">
      <alignment horizontal="center" vertical="center" wrapText="1"/>
    </xf>
    <xf numFmtId="0" fontId="0" fillId="4" borderId="1" applyAlignment="1" pivotButton="0" quotePrefix="0" xfId="0">
      <alignment horizontal="left" vertical="center" wrapText="1"/>
    </xf>
    <xf numFmtId="164" fontId="0" fillId="4" borderId="1" applyAlignment="1" pivotButton="0" quotePrefix="0" xfId="0">
      <alignment horizontal="center" vertical="center" wrapText="1"/>
    </xf>
    <xf numFmtId="3" fontId="0" fillId="4" borderId="1" applyAlignment="1" pivotButton="0" quotePrefix="0" xfId="0">
      <alignment horizontal="center" vertical="center" wrapText="1"/>
    </xf>
    <xf numFmtId="165" fontId="0" fillId="4" borderId="1" applyAlignment="1" pivotButton="0" quotePrefix="0" xfId="0">
      <alignment horizontal="center" vertical="center" wrapText="1"/>
    </xf>
    <xf numFmtId="166" fontId="0" fillId="4" borderId="1" applyAlignment="1" pivotButton="0" quotePrefix="0" xfId="0">
      <alignment horizontal="center" vertical="center" wrapText="1"/>
    </xf>
    <xf numFmtId="166" fontId="0" fillId="3" borderId="1" pivotButton="0" quotePrefix="0" xfId="0"/>
    <xf numFmtId="0" fontId="0" fillId="5" borderId="1" applyAlignment="1" pivotButton="0" quotePrefix="0" xfId="0">
      <alignment horizontal="center" vertical="center" wrapText="1"/>
    </xf>
    <xf numFmtId="0" fontId="0" fillId="5" borderId="1" applyAlignment="1" pivotButton="0" quotePrefix="0" xfId="0">
      <alignment horizontal="left" vertical="center" wrapText="1"/>
    </xf>
    <xf numFmtId="164" fontId="0" fillId="5" borderId="1" applyAlignment="1" pivotButton="0" quotePrefix="0" xfId="0">
      <alignment horizontal="center" vertical="center" wrapText="1"/>
    </xf>
    <xf numFmtId="3" fontId="0" fillId="5" borderId="1" applyAlignment="1" pivotButton="0" quotePrefix="0" xfId="0">
      <alignment horizontal="center" vertical="center" wrapText="1"/>
    </xf>
    <xf numFmtId="165" fontId="0" fillId="5" borderId="1" applyAlignment="1" pivotButton="0" quotePrefix="0" xfId="0">
      <alignment horizontal="center" vertical="center" wrapText="1"/>
    </xf>
    <xf numFmtId="166" fontId="0" fillId="5" borderId="1" applyAlignment="1" pivotButton="0" quotePrefix="0" xfId="0">
      <alignment horizontal="center" vertical="center" wrapText="1"/>
    </xf>
    <xf numFmtId="0" fontId="4" fillId="6" borderId="1" pivotButton="0" quotePrefix="0" xfId="0"/>
    <xf numFmtId="0" fontId="0" fillId="6" borderId="1" pivotButton="0" quotePrefix="0" xfId="0"/>
    <xf numFmtId="3" fontId="5" fillId="6" borderId="1" pivotButton="0" quotePrefix="0" xfId="0"/>
    <xf numFmtId="165" fontId="5" fillId="6" borderId="1" pivotButton="0" quotePrefix="0" xfId="0"/>
    <xf numFmtId="166" fontId="5" fillId="6" borderId="1" pivotButton="0" quotePrefix="0" xfId="0"/>
    <xf numFmtId="0" fontId="2" fillId="7" borderId="0" pivotButton="0" quotePrefix="0" xfId="0"/>
    <xf numFmtId="0" fontId="0" fillId="7" borderId="0" pivotButton="0" quotePrefix="0" xfId="0"/>
    <xf numFmtId="0" fontId="6" fillId="7" borderId="1" applyAlignment="1" pivotButton="0" quotePrefix="0" xfId="0">
      <alignment horizontal="center" vertical="center" wrapText="1"/>
    </xf>
    <xf numFmtId="167" fontId="0" fillId="4" borderId="1" applyAlignment="1" pivotButton="0" quotePrefix="0" xfId="0">
      <alignment horizontal="center" vertical="center" wrapText="1"/>
    </xf>
    <xf numFmtId="167" fontId="0" fillId="5" borderId="1" applyAlignment="1" pivotButton="0" quotePrefix="0" xfId="0">
      <alignment horizontal="center" vertical="center" wrapText="1"/>
    </xf>
    <xf numFmtId="0" fontId="5" fillId="0" borderId="0" pivotButton="0" quotePrefix="0" xfId="0"/>
    <xf numFmtId="167" fontId="5" fillId="0" borderId="0" pivotButton="0" quotePrefix="0" xfId="0"/>
    <xf numFmtId="0" fontId="6" fillId="7" borderId="1" pivotButton="0" quotePrefix="0" xfId="0"/>
    <xf numFmtId="0" fontId="7" fillId="4" borderId="1" pivotButton="0" quotePrefix="0" xfId="0"/>
    <xf numFmtId="1" fontId="3" fillId="4" borderId="1" pivotButton="0" quotePrefix="0" xfId="0"/>
    <xf numFmtId="0" fontId="7" fillId="5" borderId="1" pivotButton="0" quotePrefix="0" xfId="0"/>
    <xf numFmtId="166" fontId="3" fillId="5" borderId="1" pivotButton="0" quotePrefix="0" xfId="0"/>
    <xf numFmtId="166" fontId="3" fillId="4" borderId="1" pivotButton="0" quotePrefix="0" xfId="0"/>
    <xf numFmtId="3" fontId="3" fillId="5" borderId="1" pivotButton="0" quotePrefix="0" xfId="0"/>
    <xf numFmtId="165" fontId="3" fillId="4" borderId="1" pivotButton="0" quotePrefix="0" xfId="0"/>
    <xf numFmtId="1" fontId="3" fillId="5" borderId="1" pivotButton="0" quotePrefix="0" xfId="0"/>
    <xf numFmtId="0" fontId="3" fillId="6" borderId="1" pivotButton="0" quotePrefix="0" xfId="0"/>
    <xf numFmtId="167" fontId="5" fillId="6" borderId="1" pivotButton="0" quotePrefix="0" xfId="0"/>
    <xf numFmtId="0" fontId="3" fillId="0" borderId="1" pivotButton="0" quotePrefix="0" xfId="0"/>
    <xf numFmtId="0" fontId="5" fillId="0" borderId="1" pivotButton="0" quotePrefix="0" xfId="0"/>
    <xf numFmtId="0" fontId="0" fillId="4" borderId="1" pivotButton="0" quotePrefix="0" xfId="0"/>
    <xf numFmtId="1" fontId="0" fillId="4" borderId="1" pivotButton="0" quotePrefix="0" xfId="0"/>
    <xf numFmtId="0" fontId="0" fillId="5" borderId="1" pivotButton="0" quotePrefix="0" xfId="0"/>
    <xf numFmtId="1" fontId="0" fillId="5" borderId="1" pivotButton="0" quotePrefix="0" xfId="0"/>
    <xf numFmtId="166" fontId="0" fillId="4" borderId="1" pivotButton="0" quotePrefix="0" xfId="0"/>
    <xf numFmtId="166" fontId="0" fillId="5" borderId="1" pivotButton="0" quotePrefix="0" xfId="0"/>
    <xf numFmtId="3" fontId="0" fillId="4" borderId="1" pivotButton="0" quotePrefix="0" xfId="0"/>
    <xf numFmtId="3" fontId="0" fillId="5" borderId="1" pivotButton="0" quotePrefix="0" xfId="0"/>
    <xf numFmtId="0" fontId="0" fillId="0" borderId="1" pivotButton="0" quotePrefix="0" xfId="0"/>
    <xf numFmtId="0" fontId="0" fillId="3" borderId="1" pivotButton="0" quotePrefix="0" xfId="0"/>
    <xf numFmtId="0" fontId="8" fillId="5" borderId="1" applyAlignment="1" pivotButton="0" quotePrefix="0" xfId="0">
      <alignment vertical="top" wrapText="1"/>
    </xf>
    <xf numFmtId="0" fontId="7" fillId="5" borderId="1" applyAlignment="1" pivotButton="0" quotePrefix="0" xfId="0">
      <alignment vertical="top" wrapText="1"/>
    </xf>
    <xf numFmtId="0" fontId="8" fillId="4" borderId="1" applyAlignment="1" pivotButton="0" quotePrefix="0" xfId="0">
      <alignment vertical="top" wrapText="1"/>
    </xf>
    <xf numFmtId="0" fontId="7" fillId="4" borderId="1" applyAlignment="1" pivotButton="0" quotePrefix="0" xfId="0">
      <alignment vertical="top" wrapText="1"/>
    </xf>
    <xf numFmtId="164" fontId="0" fillId="4" borderId="1" applyAlignment="1" pivotButton="0" quotePrefix="0" xfId="0">
      <alignment horizontal="center" vertical="center" wrapText="1"/>
    </xf>
    <xf numFmtId="165" fontId="0" fillId="4" borderId="1" applyAlignment="1" pivotButton="0" quotePrefix="0" xfId="0">
      <alignment horizontal="center" vertical="center" wrapText="1"/>
    </xf>
    <xf numFmtId="166" fontId="0" fillId="4" borderId="1" applyAlignment="1" pivotButton="0" quotePrefix="0" xfId="0">
      <alignment horizontal="center" vertical="center" wrapText="1"/>
    </xf>
    <xf numFmtId="166" fontId="0" fillId="3" borderId="1" pivotButton="0" quotePrefix="0" xfId="0"/>
    <xf numFmtId="164" fontId="0" fillId="5" borderId="1" applyAlignment="1" pivotButton="0" quotePrefix="0" xfId="0">
      <alignment horizontal="center" vertical="center" wrapText="1"/>
    </xf>
    <xf numFmtId="165" fontId="0" fillId="5" borderId="1" applyAlignment="1" pivotButton="0" quotePrefix="0" xfId="0">
      <alignment horizontal="center" vertical="center" wrapText="1"/>
    </xf>
    <xf numFmtId="166" fontId="0" fillId="5" borderId="1" applyAlignment="1" pivotButton="0" quotePrefix="0" xfId="0">
      <alignment horizontal="center" vertical="center" wrapText="1"/>
    </xf>
    <xf numFmtId="0" fontId="0" fillId="0" borderId="4" pivotButton="0" quotePrefix="0" xfId="0"/>
    <xf numFmtId="0" fontId="0" fillId="0" borderId="5" pivotButton="0" quotePrefix="0" xfId="0"/>
    <xf numFmtId="165" fontId="5" fillId="6" borderId="1" pivotButton="0" quotePrefix="0" xfId="0"/>
    <xf numFmtId="166" fontId="5" fillId="6" borderId="1" pivotButton="0" quotePrefix="0" xfId="0"/>
    <xf numFmtId="167" fontId="0" fillId="4" borderId="1" applyAlignment="1" pivotButton="0" quotePrefix="0" xfId="0">
      <alignment horizontal="center" vertical="center" wrapText="1"/>
    </xf>
    <xf numFmtId="167" fontId="0" fillId="5" borderId="1" applyAlignment="1" pivotButton="0" quotePrefix="0" xfId="0">
      <alignment horizontal="center" vertical="center" wrapText="1"/>
    </xf>
    <xf numFmtId="167" fontId="5" fillId="0" borderId="0" pivotButton="0" quotePrefix="0" xfId="0"/>
    <xf numFmtId="166" fontId="3" fillId="5" borderId="1" pivotButton="0" quotePrefix="0" xfId="0"/>
    <xf numFmtId="166" fontId="3" fillId="4" borderId="1" pivotButton="0" quotePrefix="0" xfId="0"/>
    <xf numFmtId="165" fontId="3" fillId="4" borderId="1" pivotButton="0" quotePrefix="0" xfId="0"/>
    <xf numFmtId="167" fontId="5" fillId="6" borderId="1" pivotButton="0" quotePrefix="0" xfId="0"/>
    <xf numFmtId="166" fontId="0" fillId="4" borderId="1" pivotButton="0" quotePrefix="0" xfId="0"/>
    <xf numFmtId="166" fontId="0" fillId="5" borderId="1" pivotButton="0" quotePrefix="0" xfId="0"/>
  </cellXfs>
  <cellStyles count="1">
    <cellStyle name="Normal" xfId="0" builtinId="0" hidden="0"/>
  </cellStyles>
  <dxfs count="5">
    <dxf>
      <font>
        <b val="1"/>
        <color rgb="0016A34A"/>
      </font>
    </dxf>
    <dxf>
      <font>
        <b val="1"/>
        <color rgb="00DC2626"/>
      </font>
    </dxf>
    <dxf>
      <font>
        <b val="1"/>
        <color rgb="00DC2626"/>
      </font>
      <fill>
        <patternFill patternType="solid">
          <fgColor rgb="00FCA5A5"/>
          <bgColor rgb="00FCA5A5"/>
        </patternFill>
      </fill>
    </dxf>
    <dxf>
      <fill>
        <patternFill patternType="solid">
          <fgColor rgb="00FDE68A"/>
          <bgColor rgb="00FDE68A"/>
        </patternFill>
      </fill>
    </dxf>
    <dxf>
      <fill>
        <patternFill patternType="solid">
          <fgColor rgb="00F97316"/>
          <bgColor rgb="00F97316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Répartition du troupeau par statut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'Synthèse'!B16</f>
            </strRef>
          </tx>
          <spPr>
            <a:solidFill xmlns:a="http://schemas.openxmlformats.org/drawingml/2006/main">
              <a:srgbClr val="0E7A54"/>
            </a:solidFill>
            <a:ln xmlns:a="http://schemas.openxmlformats.org/drawingml/2006/main">
              <a:prstDash val="solid"/>
            </a:ln>
          </spPr>
          <cat>
            <numRef>
              <f>'Synthèse'!$A$17:$A$21</f>
            </numRef>
          </cat>
          <val>
            <numRef>
              <f>'Synthèse'!$B$17:$B$21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Statut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Nombre d'animaux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Répartition des coûts</a:t>
            </a:r>
          </a:p>
        </rich>
      </tx>
    </title>
    <plotArea>
      <pieChart>
        <varyColors val="1"/>
        <ser>
          <idx val="0"/>
          <order val="0"/>
          <tx>
            <strRef>
              <f>'Synthèse'!B24</f>
            </strRef>
          </tx>
          <spPr>
            <a:ln xmlns:a="http://schemas.openxmlformats.org/drawingml/2006/main">
              <a:prstDash val="solid"/>
            </a:ln>
          </spPr>
          <cat>
            <numRef>
              <f>'Synthèse'!$A$25:$A$28</f>
            </numRef>
          </cat>
          <val>
            <numRef>
              <f>'Synthèse'!$B$25:$B$28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charts/chart3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Évolution mensuelle du poids moyen (kg)</a:t>
            </a:r>
          </a:p>
        </rich>
      </tx>
    </title>
    <plotArea>
      <lineChart>
        <grouping val="standard"/>
        <ser>
          <idx val="0"/>
          <order val="0"/>
          <tx>
            <strRef>
              <f>'Synthèse'!B31</f>
            </strRef>
          </tx>
          <spPr>
            <a:ln xmlns:a="http://schemas.openxmlformats.org/drawingml/2006/main" w="20000">
              <a:solidFill>
                <a:srgbClr val="F97316"/>
              </a:solidFill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'Synthèse'!$A$32:$A$43</f>
            </numRef>
          </cat>
          <val>
            <numRef>
              <f>'Synthèse'!$B$32:$B$43</f>
            </numRef>
          </val>
        </ser>
        <axId val="10"/>
        <axId val="100"/>
      </line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Mois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Poids moyen (kg)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Relationship Type="http://schemas.openxmlformats.org/officeDocument/2006/relationships/chart" Target="/xl/charts/chart3.xml" Id="rId3"/></Relationships>
</file>

<file path=xl/drawings/drawing1.xml><?xml version="1.0" encoding="utf-8"?>
<wsDr xmlns="http://schemas.openxmlformats.org/drawingml/2006/spreadsheetDrawing">
  <oneCellAnchor>
    <from>
      <col>3</col>
      <colOff>0</colOff>
      <row>2</row>
      <rowOff>0</rowOff>
    </from>
    <ext cx="5400000" cy="324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3</col>
      <colOff>0</colOff>
      <row>20</row>
      <rowOff>0</rowOff>
    </from>
    <ext cx="5400000" cy="324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  <oneCellAnchor>
    <from>
      <col>3</col>
      <colOff>0</colOff>
      <row>38</row>
      <rowOff>0</rowOff>
    </from>
    <ext cx="5400000" cy="3240000"/>
    <graphicFrame>
      <nvGraphicFramePr>
        <cNvPr id="3" name="Chart 3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S14"/>
  <sheetViews>
    <sheetView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10" customWidth="1" min="1" max="1"/>
    <col width="13" customWidth="1" min="2" max="2"/>
    <col width="15" customWidth="1" min="3" max="3"/>
    <col width="8" customWidth="1" min="4" max="4"/>
    <col width="15" customWidth="1" min="5" max="5"/>
    <col width="10" customWidth="1" min="6" max="6"/>
    <col width="12" customWidth="1" min="7" max="7"/>
    <col width="13" customWidth="1" min="8" max="8"/>
    <col width="13" customWidth="1" min="9" max="9"/>
    <col width="13" customWidth="1" min="10" max="10"/>
    <col width="15" customWidth="1" min="11" max="11"/>
    <col width="12" customWidth="1" min="12" max="12"/>
    <col width="14" customWidth="1" min="13" max="13"/>
    <col width="16" customWidth="1" min="14" max="14"/>
    <col width="16" customWidth="1" min="15" max="15"/>
    <col width="18" customWidth="1" min="16" max="16"/>
    <col width="15" customWidth="1" min="17" max="17"/>
    <col width="15" customWidth="1" min="18" max="18"/>
    <col width="22" customWidth="1" min="19" max="19"/>
  </cols>
  <sheetData>
    <row r="1" ht="26" customHeight="1">
      <c r="A1" s="1" t="inlineStr">
        <is>
          <t>GESTION DU TROUPEAU BOVIN — SUIVI ANIMAUX</t>
        </is>
      </c>
    </row>
    <row r="2">
      <c r="A2" s="2" t="inlineStr">
        <is>
          <t>ID animal</t>
        </is>
      </c>
      <c r="B2" s="2" t="inlineStr">
        <is>
          <t>Nom / repère</t>
        </is>
      </c>
      <c r="C2" s="2" t="inlineStr">
        <is>
          <t>Espèce / race</t>
        </is>
      </c>
      <c r="D2" s="2" t="inlineStr">
        <is>
          <t>Sexe</t>
        </is>
      </c>
      <c r="E2" s="2" t="inlineStr">
        <is>
          <t>Date de naissance</t>
        </is>
      </c>
      <c r="F2" s="2" t="inlineStr">
        <is>
          <t>Âge (mois)</t>
        </is>
      </c>
      <c r="G2" s="2" t="inlineStr">
        <is>
          <t>Statut</t>
        </is>
      </c>
      <c r="H2" s="2" t="inlineStr">
        <is>
          <t>Date d'entrée</t>
        </is>
      </c>
      <c r="I2" s="2" t="inlineStr">
        <is>
          <t>Poids actuel (kg)</t>
        </is>
      </c>
      <c r="J2" s="2" t="inlineStr">
        <is>
          <t>Date pesée</t>
        </is>
      </c>
      <c r="K2" s="2" t="inlineStr">
        <is>
          <t>Dernière mise bas</t>
        </is>
      </c>
      <c r="L2" s="2" t="inlineStr">
        <is>
          <t>Nb de vêlages</t>
        </is>
      </c>
      <c r="M2" s="2" t="inlineStr">
        <is>
          <t>Production/jour (L)</t>
        </is>
      </c>
      <c r="N2" s="2" t="inlineStr">
        <is>
          <t>État sanitaire</t>
        </is>
      </c>
      <c r="O2" s="2" t="inlineStr">
        <is>
          <t>Prochaine vaccination</t>
        </is>
      </c>
      <c r="P2" s="2" t="inlineStr">
        <is>
          <t>Coût sanitaire cumulé (€)</t>
        </is>
      </c>
      <c r="Q2" s="2" t="inlineStr">
        <is>
          <t>Valeur estimée (€)</t>
        </is>
      </c>
      <c r="R2" s="2" t="inlineStr">
        <is>
          <t>Marge estimée (€)</t>
        </is>
      </c>
      <c r="S2" s="2" t="inlineStr">
        <is>
          <t>Observations</t>
        </is>
      </c>
    </row>
    <row r="3">
      <c r="A3" s="3" t="inlineStr">
        <is>
          <t>FR001</t>
        </is>
      </c>
      <c r="B3" s="4" t="inlineStr">
        <is>
          <t>Camille</t>
        </is>
      </c>
      <c r="C3" s="4" t="inlineStr">
        <is>
          <t>Charolaise</t>
        </is>
      </c>
      <c r="D3" s="4" t="inlineStr">
        <is>
          <t>F</t>
        </is>
      </c>
      <c r="E3" s="55" t="n">
        <v>45000</v>
      </c>
      <c r="F3" s="3">
        <f>IFERROR(DATEDIF(E3,TODAY(),"m"),0)</f>
        <v/>
      </c>
      <c r="G3" s="4" t="inlineStr">
        <is>
          <t>vache</t>
        </is>
      </c>
      <c r="H3" s="55" t="n">
        <v>45047</v>
      </c>
      <c r="I3" s="6" t="n">
        <v>620</v>
      </c>
      <c r="J3" s="55" t="n">
        <v>46183</v>
      </c>
      <c r="K3" s="55" t="n">
        <v>46073</v>
      </c>
      <c r="L3" s="3">
        <f>IF(K3="",0,IF(F3&gt;60,3,IF(F3&gt;36,2,1)))</f>
        <v/>
      </c>
      <c r="M3" s="56" t="n">
        <v>22</v>
      </c>
      <c r="N3" s="4" t="inlineStr">
        <is>
          <t>Bon</t>
        </is>
      </c>
      <c r="O3" s="55" t="n">
        <v>46249</v>
      </c>
      <c r="P3" s="57">
        <f>IFERROR(SUMIFS('Alimentation &amp; Santé'!I:I,'Alimentation &amp; Santé'!B:B,A3,'Alimentation &amp; Santé'!D:D,"Vaccin")+SUMIFS('Alimentation &amp; Santé'!I:I,'Alimentation &amp; Santé'!B:B,A3,'Alimentation &amp; Santé'!D:D,"Vermifuge")+SUMIFS('Alimentation &amp; Santé'!I:I,'Alimentation &amp; Santé'!B:B,A3,'Alimentation &amp; Santé'!D:D,"Soins"),0)</f>
        <v/>
      </c>
      <c r="Q3" s="58" t="n">
        <v>1450</v>
      </c>
      <c r="R3" s="57">
        <f>Q3-P3</f>
        <v/>
      </c>
      <c r="S3" s="4" t="inlineStr">
        <is>
          <t>RAS</t>
        </is>
      </c>
    </row>
    <row r="4">
      <c r="A4" s="10" t="inlineStr">
        <is>
          <t>FR002</t>
        </is>
      </c>
      <c r="B4" s="11" t="inlineStr">
        <is>
          <t>Julien</t>
        </is>
      </c>
      <c r="C4" s="11" t="inlineStr">
        <is>
          <t>Limousine</t>
        </is>
      </c>
      <c r="D4" s="11" t="inlineStr">
        <is>
          <t>M</t>
        </is>
      </c>
      <c r="E4" s="59" t="n">
        <v>45818</v>
      </c>
      <c r="F4" s="10">
        <f>IFERROR(DATEDIF(E4,TODAY(),"m"),0)</f>
        <v/>
      </c>
      <c r="G4" s="11" t="inlineStr">
        <is>
          <t>veau</t>
        </is>
      </c>
      <c r="H4" s="59" t="n">
        <v>45820</v>
      </c>
      <c r="I4" s="13" t="n">
        <v>95</v>
      </c>
      <c r="J4" s="59" t="n">
        <v>46096</v>
      </c>
      <c r="K4" s="59" t="n"/>
      <c r="L4" s="10">
        <f>IF(K4="",0,IF(F4&gt;60,3,IF(F4&gt;36,2,1)))</f>
        <v/>
      </c>
      <c r="M4" s="60" t="n">
        <v>0</v>
      </c>
      <c r="N4" s="11" t="inlineStr">
        <is>
          <t>Bon</t>
        </is>
      </c>
      <c r="O4" s="59" t="n">
        <v>46285</v>
      </c>
      <c r="P4" s="61">
        <f>IFERROR(SUMIFS('Alimentation &amp; Santé'!I:I,'Alimentation &amp; Santé'!B:B,A4,'Alimentation &amp; Santé'!D:D,"Vaccin")+SUMIFS('Alimentation &amp; Santé'!I:I,'Alimentation &amp; Santé'!B:B,A4,'Alimentation &amp; Santé'!D:D,"Vermifuge")+SUMIFS('Alimentation &amp; Santé'!I:I,'Alimentation &amp; Santé'!B:B,A4,'Alimentation &amp; Santé'!D:D,"Soins"),0)</f>
        <v/>
      </c>
      <c r="Q4" s="58" t="n">
        <v>480</v>
      </c>
      <c r="R4" s="61">
        <f>Q4-P4</f>
        <v/>
      </c>
      <c r="S4" s="11" t="inlineStr">
        <is>
          <t>RAS</t>
        </is>
      </c>
    </row>
    <row r="5">
      <c r="A5" s="3" t="inlineStr">
        <is>
          <t>FR003</t>
        </is>
      </c>
      <c r="B5" s="4" t="inlineStr">
        <is>
          <t>Chloé</t>
        </is>
      </c>
      <c r="C5" s="4" t="inlineStr">
        <is>
          <t>Prim'Holstein</t>
        </is>
      </c>
      <c r="D5" s="4" t="inlineStr">
        <is>
          <t>F</t>
        </is>
      </c>
      <c r="E5" s="55" t="n">
        <v>45311</v>
      </c>
      <c r="F5" s="3">
        <f>IFERROR(DATEDIF(E5,TODAY(),"m"),0)</f>
        <v/>
      </c>
      <c r="G5" s="4" t="inlineStr">
        <is>
          <t>génisse</t>
        </is>
      </c>
      <c r="H5" s="55" t="n">
        <v>45313</v>
      </c>
      <c r="I5" s="6" t="n">
        <v>340</v>
      </c>
      <c r="J5" s="55" t="n">
        <v>46117</v>
      </c>
      <c r="K5" s="55" t="n"/>
      <c r="L5" s="3">
        <f>IF(K5="",0,IF(F5&gt;60,3,IF(F5&gt;36,2,1)))</f>
        <v/>
      </c>
      <c r="M5" s="56" t="n">
        <v>0</v>
      </c>
      <c r="N5" s="4" t="inlineStr">
        <is>
          <t>Bon</t>
        </is>
      </c>
      <c r="O5" s="55" t="n">
        <v>46228</v>
      </c>
      <c r="P5" s="57">
        <f>IFERROR(SUMIFS('Alimentation &amp; Santé'!I:I,'Alimentation &amp; Santé'!B:B,A5,'Alimentation &amp; Santé'!D:D,"Vaccin")+SUMIFS('Alimentation &amp; Santé'!I:I,'Alimentation &amp; Santé'!B:B,A5,'Alimentation &amp; Santé'!D:D,"Vermifuge")+SUMIFS('Alimentation &amp; Santé'!I:I,'Alimentation &amp; Santé'!B:B,A5,'Alimentation &amp; Santé'!D:D,"Soins"),0)</f>
        <v/>
      </c>
      <c r="Q5" s="58" t="n">
        <v>890</v>
      </c>
      <c r="R5" s="57">
        <f>Q5-P5</f>
        <v/>
      </c>
      <c r="S5" s="4" t="inlineStr">
        <is>
          <t>RAS</t>
        </is>
      </c>
    </row>
    <row r="6">
      <c r="A6" s="10" t="inlineStr">
        <is>
          <t>FR004</t>
        </is>
      </c>
      <c r="B6" s="11" t="inlineStr">
        <is>
          <t>Thomas</t>
        </is>
      </c>
      <c r="C6" s="11" t="inlineStr">
        <is>
          <t>Salers</t>
        </is>
      </c>
      <c r="D6" s="11" t="inlineStr">
        <is>
          <t>M</t>
        </is>
      </c>
      <c r="E6" s="59" t="n">
        <v>44809</v>
      </c>
      <c r="F6" s="10">
        <f>IFERROR(DATEDIF(E6,TODAY(),"m"),0)</f>
        <v/>
      </c>
      <c r="G6" s="11" t="inlineStr">
        <is>
          <t>taurillon</t>
        </is>
      </c>
      <c r="H6" s="59" t="n">
        <v>44811</v>
      </c>
      <c r="I6" s="13" t="n">
        <v>580</v>
      </c>
      <c r="J6" s="59" t="n">
        <v>46160</v>
      </c>
      <c r="K6" s="59" t="n"/>
      <c r="L6" s="10">
        <f>IF(K6="",0,IF(F6&gt;60,3,IF(F6&gt;36,2,1)))</f>
        <v/>
      </c>
      <c r="M6" s="60" t="n">
        <v>0</v>
      </c>
      <c r="N6" s="11" t="inlineStr">
        <is>
          <t>Surveillance</t>
        </is>
      </c>
      <c r="O6" s="59" t="n">
        <v>46203</v>
      </c>
      <c r="P6" s="61">
        <f>IFERROR(SUMIFS('Alimentation &amp; Santé'!I:I,'Alimentation &amp; Santé'!B:B,A6,'Alimentation &amp; Santé'!D:D,"Vaccin")+SUMIFS('Alimentation &amp; Santé'!I:I,'Alimentation &amp; Santé'!B:B,A6,'Alimentation &amp; Santé'!D:D,"Vermifuge")+SUMIFS('Alimentation &amp; Santé'!I:I,'Alimentation &amp; Santé'!B:B,A6,'Alimentation &amp; Santé'!D:D,"Soins"),0)</f>
        <v/>
      </c>
      <c r="Q6" s="58" t="n">
        <v>1100</v>
      </c>
      <c r="R6" s="61">
        <f>Q6-P6</f>
        <v/>
      </c>
      <c r="S6" s="11" t="inlineStr">
        <is>
          <t>RAS</t>
        </is>
      </c>
    </row>
    <row r="7">
      <c r="A7" s="3" t="inlineStr">
        <is>
          <t>FR005</t>
        </is>
      </c>
      <c r="B7" s="4" t="inlineStr">
        <is>
          <t>Léa</t>
        </is>
      </c>
      <c r="C7" s="4" t="inlineStr">
        <is>
          <t>Montbéliarde</t>
        </is>
      </c>
      <c r="D7" s="4" t="inlineStr">
        <is>
          <t>F</t>
        </is>
      </c>
      <c r="E7" s="55" t="n">
        <v>44239</v>
      </c>
      <c r="F7" s="3">
        <f>IFERROR(DATEDIF(E7,TODAY(),"m"),0)</f>
        <v/>
      </c>
      <c r="G7" s="4" t="inlineStr">
        <is>
          <t>vache</t>
        </is>
      </c>
      <c r="H7" s="55" t="n">
        <v>44241</v>
      </c>
      <c r="I7" s="6" t="n">
        <v>640</v>
      </c>
      <c r="J7" s="55" t="n">
        <v>46174</v>
      </c>
      <c r="K7" s="55" t="n">
        <v>46082</v>
      </c>
      <c r="L7" s="3">
        <f>IF(K7="",0,IF(F7&gt;60,3,IF(F7&gt;36,2,1)))</f>
        <v/>
      </c>
      <c r="M7" s="56" t="n">
        <v>26</v>
      </c>
      <c r="N7" s="4" t="inlineStr">
        <is>
          <t>Bon</t>
        </is>
      </c>
      <c r="O7" s="55" t="n">
        <v>46300</v>
      </c>
      <c r="P7" s="57">
        <f>IFERROR(SUMIFS('Alimentation &amp; Santé'!I:I,'Alimentation &amp; Santé'!B:B,A7,'Alimentation &amp; Santé'!D:D,"Vaccin")+SUMIFS('Alimentation &amp; Santé'!I:I,'Alimentation &amp; Santé'!B:B,A7,'Alimentation &amp; Santé'!D:D,"Vermifuge")+SUMIFS('Alimentation &amp; Santé'!I:I,'Alimentation &amp; Santé'!B:B,A7,'Alimentation &amp; Santé'!D:D,"Soins"),0)</f>
        <v/>
      </c>
      <c r="Q7" s="58" t="n">
        <v>1600</v>
      </c>
      <c r="R7" s="57">
        <f>Q7-P7</f>
        <v/>
      </c>
      <c r="S7" s="4" t="inlineStr">
        <is>
          <t>RAS</t>
        </is>
      </c>
    </row>
    <row r="8">
      <c r="A8" s="10" t="inlineStr">
        <is>
          <t>FR006</t>
        </is>
      </c>
      <c r="B8" s="11" t="inlineStr">
        <is>
          <t>Nicolas</t>
        </is>
      </c>
      <c r="C8" s="11" t="inlineStr">
        <is>
          <t>Charolaise</t>
        </is>
      </c>
      <c r="D8" s="11" t="inlineStr">
        <is>
          <t>M</t>
        </is>
      </c>
      <c r="E8" s="59" t="n">
        <v>43466</v>
      </c>
      <c r="F8" s="10">
        <f>IFERROR(DATEDIF(E8,TODAY(),"m"),0)</f>
        <v/>
      </c>
      <c r="G8" s="11" t="inlineStr">
        <is>
          <t>réforme</t>
        </is>
      </c>
      <c r="H8" s="59" t="n">
        <v>43468</v>
      </c>
      <c r="I8" s="13" t="n">
        <v>750</v>
      </c>
      <c r="J8" s="59" t="n">
        <v>46167</v>
      </c>
      <c r="K8" s="59" t="n"/>
      <c r="L8" s="10">
        <f>IF(K8="",0,IF(F8&gt;60,3,IF(F8&gt;36,2,1)))</f>
        <v/>
      </c>
      <c r="M8" s="60" t="n">
        <v>0</v>
      </c>
      <c r="N8" s="11" t="inlineStr">
        <is>
          <t>Bon</t>
        </is>
      </c>
      <c r="O8" s="59" t="n">
        <v>46032</v>
      </c>
      <c r="P8" s="61">
        <f>IFERROR(SUMIFS('Alimentation &amp; Santé'!I:I,'Alimentation &amp; Santé'!B:B,A8,'Alimentation &amp; Santé'!D:D,"Vaccin")+SUMIFS('Alimentation &amp; Santé'!I:I,'Alimentation &amp; Santé'!B:B,A8,'Alimentation &amp; Santé'!D:D,"Vermifuge")+SUMIFS('Alimentation &amp; Santé'!I:I,'Alimentation &amp; Santé'!B:B,A8,'Alimentation &amp; Santé'!D:D,"Soins"),0)</f>
        <v/>
      </c>
      <c r="Q8" s="58" t="n">
        <v>950</v>
      </c>
      <c r="R8" s="61">
        <f>Q8-P8</f>
        <v/>
      </c>
      <c r="S8" s="11" t="inlineStr">
        <is>
          <t>Prévu pour la vente</t>
        </is>
      </c>
    </row>
    <row r="9">
      <c r="A9" s="3" t="inlineStr">
        <is>
          <t>FR007</t>
        </is>
      </c>
      <c r="B9" s="4" t="inlineStr">
        <is>
          <t>Manon</t>
        </is>
      </c>
      <c r="C9" s="4" t="inlineStr">
        <is>
          <t>Limousine</t>
        </is>
      </c>
      <c r="D9" s="4" t="inlineStr">
        <is>
          <t>F</t>
        </is>
      </c>
      <c r="E9" s="55" t="n">
        <v>45400</v>
      </c>
      <c r="F9" s="3">
        <f>IFERROR(DATEDIF(E9,TODAY(),"m"),0)</f>
        <v/>
      </c>
      <c r="G9" s="4" t="inlineStr">
        <is>
          <t>génisse</t>
        </is>
      </c>
      <c r="H9" s="55" t="n">
        <v>45402</v>
      </c>
      <c r="I9" s="6" t="n">
        <v>360</v>
      </c>
      <c r="J9" s="55" t="n">
        <v>46063</v>
      </c>
      <c r="K9" s="55" t="n"/>
      <c r="L9" s="3">
        <f>IF(K9="",0,IF(F9&gt;60,3,IF(F9&gt;36,2,1)))</f>
        <v/>
      </c>
      <c r="M9" s="56" t="n">
        <v>0</v>
      </c>
      <c r="N9" s="4" t="inlineStr">
        <is>
          <t>Bon</t>
        </is>
      </c>
      <c r="O9" s="55" t="n">
        <v>46218</v>
      </c>
      <c r="P9" s="57">
        <f>IFERROR(SUMIFS('Alimentation &amp; Santé'!I:I,'Alimentation &amp; Santé'!B:B,A9,'Alimentation &amp; Santé'!D:D,"Vaccin")+SUMIFS('Alimentation &amp; Santé'!I:I,'Alimentation &amp; Santé'!B:B,A9,'Alimentation &amp; Santé'!D:D,"Vermifuge")+SUMIFS('Alimentation &amp; Santé'!I:I,'Alimentation &amp; Santé'!B:B,A9,'Alimentation &amp; Santé'!D:D,"Soins"),0)</f>
        <v/>
      </c>
      <c r="Q9" s="58" t="n">
        <v>920</v>
      </c>
      <c r="R9" s="57">
        <f>Q9-P9</f>
        <v/>
      </c>
      <c r="S9" s="4" t="inlineStr">
        <is>
          <t>RAS</t>
        </is>
      </c>
    </row>
    <row r="10">
      <c r="A10" s="10" t="inlineStr">
        <is>
          <t>FR008</t>
        </is>
      </c>
      <c r="B10" s="11" t="inlineStr">
        <is>
          <t>Hugo</t>
        </is>
      </c>
      <c r="C10" s="11" t="inlineStr">
        <is>
          <t>Prim'Holstein</t>
        </is>
      </c>
      <c r="D10" s="11" t="inlineStr">
        <is>
          <t>M</t>
        </is>
      </c>
      <c r="E10" s="59" t="n">
        <v>46016</v>
      </c>
      <c r="F10" s="10">
        <f>IFERROR(DATEDIF(E10,TODAY(),"m"),0)</f>
        <v/>
      </c>
      <c r="G10" s="11" t="inlineStr">
        <is>
          <t>veau</t>
        </is>
      </c>
      <c r="H10" s="59" t="n">
        <v>46018</v>
      </c>
      <c r="I10" s="13" t="n">
        <v>80</v>
      </c>
      <c r="J10" s="59" t="n">
        <v>46193</v>
      </c>
      <c r="K10" s="59" t="n"/>
      <c r="L10" s="10">
        <f>IF(K10="",0,IF(F10&gt;60,3,IF(F10&gt;36,2,1)))</f>
        <v/>
      </c>
      <c r="M10" s="60" t="n">
        <v>0</v>
      </c>
      <c r="N10" s="11" t="inlineStr">
        <is>
          <t>Bon</t>
        </is>
      </c>
      <c r="O10" s="59" t="n">
        <v>46235</v>
      </c>
      <c r="P10" s="61">
        <f>IFERROR(SUMIFS('Alimentation &amp; Santé'!I:I,'Alimentation &amp; Santé'!B:B,A10,'Alimentation &amp; Santé'!D:D,"Vaccin")+SUMIFS('Alimentation &amp; Santé'!I:I,'Alimentation &amp; Santé'!B:B,A10,'Alimentation &amp; Santé'!D:D,"Vermifuge")+SUMIFS('Alimentation &amp; Santé'!I:I,'Alimentation &amp; Santé'!B:B,A10,'Alimentation &amp; Santé'!D:D,"Soins"),0)</f>
        <v/>
      </c>
      <c r="Q10" s="58" t="n">
        <v>460</v>
      </c>
      <c r="R10" s="61">
        <f>Q10-P10</f>
        <v/>
      </c>
      <c r="S10" s="11" t="inlineStr">
        <is>
          <t>RAS</t>
        </is>
      </c>
    </row>
    <row r="11">
      <c r="A11" s="3" t="inlineStr">
        <is>
          <t>FR009</t>
        </is>
      </c>
      <c r="B11" s="4" t="inlineStr">
        <is>
          <t>Émilie</t>
        </is>
      </c>
      <c r="C11" s="4" t="inlineStr">
        <is>
          <t>Salers</t>
        </is>
      </c>
      <c r="D11" s="4" t="inlineStr">
        <is>
          <t>F</t>
        </is>
      </c>
      <c r="E11" s="55" t="n">
        <v>44144</v>
      </c>
      <c r="F11" s="3">
        <f>IFERROR(DATEDIF(E11,TODAY(),"m"),0)</f>
        <v/>
      </c>
      <c r="G11" s="4" t="inlineStr">
        <is>
          <t>vache</t>
        </is>
      </c>
      <c r="H11" s="55" t="n">
        <v>44146</v>
      </c>
      <c r="I11" s="6" t="n">
        <v>610</v>
      </c>
      <c r="J11" s="55" t="n">
        <v>46147</v>
      </c>
      <c r="K11" s="55" t="n">
        <v>46037</v>
      </c>
      <c r="L11" s="3">
        <f>IF(K11="",0,IF(F11&gt;60,3,IF(F11&gt;36,2,1)))</f>
        <v/>
      </c>
      <c r="M11" s="56" t="n">
        <v>19</v>
      </c>
      <c r="N11" s="4" t="inlineStr">
        <is>
          <t>Traitement en cours</t>
        </is>
      </c>
      <c r="O11" s="55" t="n">
        <v>46188</v>
      </c>
      <c r="P11" s="57">
        <f>IFERROR(SUMIFS('Alimentation &amp; Santé'!I:I,'Alimentation &amp; Santé'!B:B,A11,'Alimentation &amp; Santé'!D:D,"Vaccin")+SUMIFS('Alimentation &amp; Santé'!I:I,'Alimentation &amp; Santé'!B:B,A11,'Alimentation &amp; Santé'!D:D,"Vermifuge")+SUMIFS('Alimentation &amp; Santé'!I:I,'Alimentation &amp; Santé'!B:B,A11,'Alimentation &amp; Santé'!D:D,"Soins"),0)</f>
        <v/>
      </c>
      <c r="Q11" s="58" t="n">
        <v>1300</v>
      </c>
      <c r="R11" s="57">
        <f>Q11-P11</f>
        <v/>
      </c>
      <c r="S11" s="4" t="inlineStr">
        <is>
          <t>Coût sanitaire élevé - à suivre</t>
        </is>
      </c>
    </row>
    <row r="12">
      <c r="A12" s="10" t="inlineStr">
        <is>
          <t>Lucas</t>
        </is>
      </c>
      <c r="B12" s="11" t="inlineStr">
        <is>
          <t>Lucas</t>
        </is>
      </c>
      <c r="C12" s="11" t="inlineStr">
        <is>
          <t>Montbéliarde</t>
        </is>
      </c>
      <c r="D12" s="11" t="inlineStr">
        <is>
          <t>M</t>
        </is>
      </c>
      <c r="E12" s="59" t="n">
        <v>45121</v>
      </c>
      <c r="F12" s="10">
        <f>IFERROR(DATEDIF(E12,TODAY(),"m"),0)</f>
        <v/>
      </c>
      <c r="G12" s="11" t="inlineStr">
        <is>
          <t>taurillon</t>
        </is>
      </c>
      <c r="H12" s="59" t="n">
        <v>45123</v>
      </c>
      <c r="I12" s="13" t="n">
        <v>540</v>
      </c>
      <c r="J12" s="59" t="n">
        <v>46140</v>
      </c>
      <c r="K12" s="59" t="n"/>
      <c r="L12" s="10">
        <f>IF(K12="",0,IF(F12&gt;60,3,IF(F12&gt;36,2,1)))</f>
        <v/>
      </c>
      <c r="M12" s="60" t="n">
        <v>0</v>
      </c>
      <c r="N12" s="11" t="inlineStr">
        <is>
          <t>Alerte</t>
        </is>
      </c>
      <c r="O12" s="59" t="n">
        <v>46143</v>
      </c>
      <c r="P12" s="61">
        <f>IFERROR(SUMIFS('Alimentation &amp; Santé'!I:I,'Alimentation &amp; Santé'!B:B,A12,'Alimentation &amp; Santé'!D:D,"Vaccin")+SUMIFS('Alimentation &amp; Santé'!I:I,'Alimentation &amp; Santé'!B:B,A12,'Alimentation &amp; Santé'!D:D,"Vermifuge")+SUMIFS('Alimentation &amp; Santé'!I:I,'Alimentation &amp; Santé'!B:B,A12,'Alimentation &amp; Santé'!D:D,"Soins"),0)</f>
        <v/>
      </c>
      <c r="Q12" s="58" t="n">
        <v>700</v>
      </c>
      <c r="R12" s="61">
        <f>Q12-P12</f>
        <v/>
      </c>
      <c r="S12" s="11" t="inlineStr">
        <is>
          <t>Marge négative - à surveiller</t>
        </is>
      </c>
    </row>
    <row r="13"/>
    <row r="14">
      <c r="A14" s="16" t="inlineStr">
        <is>
          <t>TOTAUX / MOYENNES</t>
        </is>
      </c>
      <c r="B14" s="62" t="n"/>
      <c r="C14" s="63" t="n"/>
      <c r="D14" s="17" t="n"/>
      <c r="E14" s="17" t="n"/>
      <c r="F14" s="17" t="n"/>
      <c r="G14" s="17" t="n"/>
      <c r="H14" s="17" t="n"/>
      <c r="I14" s="18">
        <f>IFERROR(AVERAGE(I3:I12),0)</f>
        <v/>
      </c>
      <c r="J14" s="17" t="n"/>
      <c r="K14" s="17" t="n"/>
      <c r="L14" s="17" t="n"/>
      <c r="M14" s="64">
        <f>IFERROR(AVERAGE(M3:M12),0)</f>
        <v/>
      </c>
      <c r="N14" s="17" t="n"/>
      <c r="O14" s="17" t="n"/>
      <c r="P14" s="65">
        <f>SUM(P3:P12)</f>
        <v/>
      </c>
      <c r="Q14" s="65">
        <f>SUM(Q3:Q12)</f>
        <v/>
      </c>
      <c r="R14" s="65">
        <f>SUM(R3:R12)</f>
        <v/>
      </c>
      <c r="S14" s="17" t="n"/>
    </row>
  </sheetData>
  <mergeCells count="2">
    <mergeCell ref="A1:S1"/>
    <mergeCell ref="A14:C14"/>
  </mergeCells>
  <conditionalFormatting sqref="R3:R12">
    <cfRule type="cellIs" priority="1" operator="greaterThan" dxfId="0">
      <formula>0</formula>
    </cfRule>
    <cfRule type="cellIs" priority="2" operator="lessThan" dxfId="1">
      <formula>0</formula>
    </cfRule>
  </conditionalFormatting>
  <conditionalFormatting sqref="O3:O12">
    <cfRule type="expression" priority="3" dxfId="2">
      <formula>O3&lt;TODAY()</formula>
    </cfRule>
    <cfRule type="expression" priority="4" dxfId="3">
      <formula>AND(O3&gt;=TODAY(),O3&lt;=TODAY()+30)</formula>
    </cfRule>
  </conditionalFormatting>
  <conditionalFormatting sqref="G3:G12">
    <cfRule type="expression" priority="5" dxfId="4">
      <formula>G3="réforme"</formula>
    </cfRule>
  </conditionalFormatting>
  <conditionalFormatting sqref="N3:N12">
    <cfRule type="expression" priority="6" dxfId="2">
      <formula>N3="Alerte"</formula>
    </cfRule>
    <cfRule type="expression" priority="7" dxfId="3">
      <formula>N3="Traitement en cours"</formula>
    </cfRule>
  </conditionalFormatting>
  <dataValidations count="2">
    <dataValidation sqref="G3:G12" showErrorMessage="1" showInputMessage="1" allowBlank="1" type="list">
      <formula1>"veau,génisse,vache,taurillon,réforme"</formula1>
    </dataValidation>
    <dataValidation sqref="N3:N12" showErrorMessage="1" showInputMessage="1" allowBlank="1" type="list">
      <formula1>"Bon,Surveillance,Traitement en cours,Alerte"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L24"/>
  <sheetViews>
    <sheetView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13" customWidth="1" min="1" max="1"/>
    <col width="11" customWidth="1" min="2" max="2"/>
    <col width="13" customWidth="1" min="3" max="3"/>
    <col width="16" customWidth="1" min="4" max="4"/>
    <col width="15" customWidth="1" min="5" max="5"/>
    <col width="10" customWidth="1" min="6" max="6"/>
    <col width="9" customWidth="1" min="7" max="7"/>
    <col width="13" customWidth="1" min="8" max="8"/>
    <col width="14" customWidth="1" min="9" max="9"/>
    <col width="20" customWidth="1" min="10" max="10"/>
    <col width="15" customWidth="1" min="11" max="11"/>
    <col width="24" customWidth="1" min="12" max="12"/>
  </cols>
  <sheetData>
    <row r="1" ht="26" customHeight="1">
      <c r="A1" s="1" t="inlineStr">
        <is>
          <t>ALIMENTATION &amp; SANTÉ — SUIVI DES OPÉRATIONS</t>
        </is>
      </c>
    </row>
    <row r="2">
      <c r="A2" s="2" t="inlineStr">
        <is>
          <t>Date</t>
        </is>
      </c>
      <c r="B2" s="2" t="inlineStr">
        <is>
          <t>ID animal</t>
        </is>
      </c>
      <c r="C2" s="2" t="inlineStr">
        <is>
          <t>Nom / repère</t>
        </is>
      </c>
      <c r="D2" s="2" t="inlineStr">
        <is>
          <t>Type d'opération</t>
        </is>
      </c>
      <c r="E2" s="2" t="inlineStr">
        <is>
          <t>Catégorie</t>
        </is>
      </c>
      <c r="F2" s="2" t="inlineStr">
        <is>
          <t>Quantité</t>
        </is>
      </c>
      <c r="G2" s="2" t="inlineStr">
        <is>
          <t>Unité</t>
        </is>
      </c>
      <c r="H2" s="2" t="inlineStr">
        <is>
          <t>Coût unitaire (€)</t>
        </is>
      </c>
      <c r="I2" s="2" t="inlineStr">
        <is>
          <t>Montant total (€)</t>
        </is>
      </c>
      <c r="J2" s="2" t="inlineStr">
        <is>
          <t>Prestataire / vétérinaire</t>
        </is>
      </c>
      <c r="K2" s="2" t="inlineStr">
        <is>
          <t>Prochaine échéance</t>
        </is>
      </c>
      <c r="L2" s="2" t="inlineStr">
        <is>
          <t>Commentaire</t>
        </is>
      </c>
    </row>
    <row r="3">
      <c r="A3" s="55" t="n">
        <v>46032</v>
      </c>
      <c r="B3" s="3" t="inlineStr">
        <is>
          <t>FR001</t>
        </is>
      </c>
      <c r="C3" s="4">
        <f>IFERROR(VLOOKUP(B3,Troupeau!$A$3:$B$12,2,FALSE),"")</f>
        <v/>
      </c>
      <c r="D3" s="4" t="inlineStr">
        <is>
          <t>Alimentation</t>
        </is>
      </c>
      <c r="E3" s="4" t="inlineStr">
        <is>
          <t>Fourrage</t>
        </is>
      </c>
      <c r="F3" s="6" t="n">
        <v>500</v>
      </c>
      <c r="G3" s="4" t="inlineStr">
        <is>
          <t>kg</t>
        </is>
      </c>
      <c r="H3" s="57" t="n">
        <v>0.18</v>
      </c>
      <c r="I3" s="57">
        <f>F3*H3</f>
        <v/>
      </c>
      <c r="J3" s="4" t="inlineStr">
        <is>
          <t>Coopérative Lyon</t>
        </is>
      </c>
      <c r="K3" s="55" t="n"/>
      <c r="L3" s="4" t="inlineStr">
        <is>
          <t>Foin d'hiver</t>
        </is>
      </c>
    </row>
    <row r="4">
      <c r="A4" s="59" t="n">
        <v>46058</v>
      </c>
      <c r="B4" s="10" t="inlineStr">
        <is>
          <t>FR009</t>
        </is>
      </c>
      <c r="C4" s="11">
        <f>IFERROR(VLOOKUP(B4,Troupeau!$A$3:$B$12,2,FALSE),"")</f>
        <v/>
      </c>
      <c r="D4" s="11" t="inlineStr">
        <is>
          <t>Soins</t>
        </is>
      </c>
      <c r="E4" s="11" t="inlineStr">
        <is>
          <t>Traitement mammite</t>
        </is>
      </c>
      <c r="F4" s="13" t="n">
        <v>1</v>
      </c>
      <c r="G4" s="11" t="inlineStr">
        <is>
          <t>forfait</t>
        </is>
      </c>
      <c r="H4" s="61" t="n">
        <v>380</v>
      </c>
      <c r="I4" s="61">
        <f>F4*H4</f>
        <v/>
      </c>
      <c r="J4" s="11" t="inlineStr">
        <is>
          <t>Dr Petit - Vétérinaire Rennes</t>
        </is>
      </c>
      <c r="K4" s="59" t="n"/>
      <c r="L4" s="11" t="inlineStr">
        <is>
          <t>Soins intensifs</t>
        </is>
      </c>
    </row>
    <row r="5">
      <c r="A5" s="55" t="n">
        <v>46093</v>
      </c>
      <c r="B5" s="3" t="inlineStr">
        <is>
          <t>FR002</t>
        </is>
      </c>
      <c r="C5" s="4">
        <f>IFERROR(VLOOKUP(B5,Troupeau!$A$3:$B$12,2,FALSE),"")</f>
        <v/>
      </c>
      <c r="D5" s="4" t="inlineStr">
        <is>
          <t>Vaccin</t>
        </is>
      </c>
      <c r="E5" s="4" t="inlineStr">
        <is>
          <t>IBR</t>
        </is>
      </c>
      <c r="F5" s="6" t="n">
        <v>1</v>
      </c>
      <c r="G5" s="4" t="inlineStr">
        <is>
          <t>dose</t>
        </is>
      </c>
      <c r="H5" s="57" t="n">
        <v>45</v>
      </c>
      <c r="I5" s="57">
        <f>F5*H5</f>
        <v/>
      </c>
      <c r="J5" s="4" t="inlineStr">
        <is>
          <t>Dr Martin - Vétérinaire Nantes</t>
        </is>
      </c>
      <c r="K5" s="55" t="n">
        <v>46285</v>
      </c>
      <c r="L5" s="4" t="inlineStr">
        <is>
          <t>Rappel prévu</t>
        </is>
      </c>
    </row>
    <row r="6">
      <c r="A6" s="59" t="n">
        <v>46101</v>
      </c>
      <c r="B6" s="10" t="inlineStr">
        <is>
          <t>FR005</t>
        </is>
      </c>
      <c r="C6" s="11">
        <f>IFERROR(VLOOKUP(B6,Troupeau!$A$3:$B$12,2,FALSE),"")</f>
        <v/>
      </c>
      <c r="D6" s="11" t="inlineStr">
        <is>
          <t>IA</t>
        </is>
      </c>
      <c r="E6" s="11" t="inlineStr">
        <is>
          <t>Insémination</t>
        </is>
      </c>
      <c r="F6" s="13" t="n">
        <v>1</v>
      </c>
      <c r="G6" s="11" t="inlineStr">
        <is>
          <t>acte</t>
        </is>
      </c>
      <c r="H6" s="61" t="n">
        <v>90</v>
      </c>
      <c r="I6" s="61">
        <f>F6*H6</f>
        <v/>
      </c>
      <c r="J6" s="11" t="inlineStr">
        <is>
          <t>Coopérative Toulouse</t>
        </is>
      </c>
      <c r="K6" s="59" t="n"/>
      <c r="L6" s="11" t="inlineStr">
        <is>
          <t>IA réussie</t>
        </is>
      </c>
    </row>
    <row r="7">
      <c r="A7" s="55" t="n">
        <v>46114</v>
      </c>
      <c r="B7" s="3" t="inlineStr">
        <is>
          <t>FR004</t>
        </is>
      </c>
      <c r="C7" s="4">
        <f>IFERROR(VLOOKUP(B7,Troupeau!$A$3:$B$12,2,FALSE),"")</f>
        <v/>
      </c>
      <c r="D7" s="4" t="inlineStr">
        <is>
          <t>Vermifuge</t>
        </is>
      </c>
      <c r="E7" s="4" t="inlineStr">
        <is>
          <t>Traitement interne</t>
        </is>
      </c>
      <c r="F7" s="6" t="n">
        <v>1</v>
      </c>
      <c r="G7" s="4" t="inlineStr">
        <is>
          <t>dose</t>
        </is>
      </c>
      <c r="H7" s="57" t="n">
        <v>60</v>
      </c>
      <c r="I7" s="57">
        <f>F7*H7</f>
        <v/>
      </c>
      <c r="J7" s="4" t="inlineStr">
        <is>
          <t>Dr Petit - Vétérinaire Rennes</t>
        </is>
      </c>
      <c r="K7" s="55" t="n">
        <v>46203</v>
      </c>
      <c r="L7" s="4" t="inlineStr">
        <is>
          <t>Suivi digestif</t>
        </is>
      </c>
    </row>
    <row r="8">
      <c r="A8" s="59" t="n">
        <v>46127</v>
      </c>
      <c r="B8" s="10" t="inlineStr">
        <is>
          <t>Lucas</t>
        </is>
      </c>
      <c r="C8" s="11">
        <f>IFERROR(VLOOKUP(B8,Troupeau!$A$3:$B$12,2,FALSE),"")</f>
        <v/>
      </c>
      <c r="D8" s="11" t="inlineStr">
        <is>
          <t>Soins</t>
        </is>
      </c>
      <c r="E8" s="11" t="inlineStr">
        <is>
          <t>Boiterie</t>
        </is>
      </c>
      <c r="F8" s="13" t="n">
        <v>1</v>
      </c>
      <c r="G8" s="11" t="inlineStr">
        <is>
          <t>forfait</t>
        </is>
      </c>
      <c r="H8" s="61" t="n">
        <v>920</v>
      </c>
      <c r="I8" s="61">
        <f>F8*H8</f>
        <v/>
      </c>
      <c r="J8" s="11" t="inlineStr">
        <is>
          <t>Clinique vétérinaire Bordeaux</t>
        </is>
      </c>
      <c r="K8" s="59" t="n">
        <v>46143</v>
      </c>
      <c r="L8" s="11" t="inlineStr">
        <is>
          <t>Traitement long</t>
        </is>
      </c>
    </row>
    <row r="9">
      <c r="A9" s="55" t="n">
        <v>46143</v>
      </c>
      <c r="B9" s="3" t="inlineStr">
        <is>
          <t>FR003</t>
        </is>
      </c>
      <c r="C9" s="4">
        <f>IFERROR(VLOOKUP(B9,Troupeau!$A$3:$B$12,2,FALSE),"")</f>
        <v/>
      </c>
      <c r="D9" s="4" t="inlineStr">
        <is>
          <t>Vaccin</t>
        </is>
      </c>
      <c r="E9" s="4" t="inlineStr">
        <is>
          <t>FCO</t>
        </is>
      </c>
      <c r="F9" s="6" t="n">
        <v>1</v>
      </c>
      <c r="G9" s="4" t="inlineStr">
        <is>
          <t>dose</t>
        </is>
      </c>
      <c r="H9" s="57" t="n">
        <v>40</v>
      </c>
      <c r="I9" s="57">
        <f>F9*H9</f>
        <v/>
      </c>
      <c r="J9" s="4" t="inlineStr">
        <is>
          <t>Dr Martin - Vétérinaire Nantes</t>
        </is>
      </c>
      <c r="K9" s="55" t="n">
        <v>46228</v>
      </c>
      <c r="L9" s="4" t="inlineStr">
        <is>
          <t>RAS</t>
        </is>
      </c>
    </row>
    <row r="10">
      <c r="A10" s="59" t="n">
        <v>46152</v>
      </c>
      <c r="B10" s="10" t="inlineStr">
        <is>
          <t>FR007</t>
        </is>
      </c>
      <c r="C10" s="11">
        <f>IFERROR(VLOOKUP(B10,Troupeau!$A$3:$B$12,2,FALSE),"")</f>
        <v/>
      </c>
      <c r="D10" s="11" t="inlineStr">
        <is>
          <t>Vermifuge</t>
        </is>
      </c>
      <c r="E10" s="11" t="inlineStr">
        <is>
          <t>Traitement interne</t>
        </is>
      </c>
      <c r="F10" s="13" t="n">
        <v>1</v>
      </c>
      <c r="G10" s="11" t="inlineStr">
        <is>
          <t>dose</t>
        </is>
      </c>
      <c r="H10" s="61" t="n">
        <v>70</v>
      </c>
      <c r="I10" s="61">
        <f>F10*H10</f>
        <v/>
      </c>
      <c r="J10" s="11" t="inlineStr">
        <is>
          <t>Dr Petit - Vétérinaire Rennes</t>
        </is>
      </c>
      <c r="K10" s="59" t="n">
        <v>46218</v>
      </c>
      <c r="L10" s="11" t="inlineStr">
        <is>
          <t>RAS</t>
        </is>
      </c>
    </row>
    <row r="11">
      <c r="A11" s="55" t="n">
        <v>46164</v>
      </c>
      <c r="B11" s="3" t="inlineStr">
        <is>
          <t>FR006</t>
        </is>
      </c>
      <c r="C11" s="4">
        <f>IFERROR(VLOOKUP(B11,Troupeau!$A$3:$B$12,2,FALSE),"")</f>
        <v/>
      </c>
      <c r="D11" s="4" t="inlineStr">
        <is>
          <t>Alimentation</t>
        </is>
      </c>
      <c r="E11" s="4" t="inlineStr">
        <is>
          <t>Concentré</t>
        </is>
      </c>
      <c r="F11" s="6" t="n">
        <v>300</v>
      </c>
      <c r="G11" s="4" t="inlineStr">
        <is>
          <t>kg</t>
        </is>
      </c>
      <c r="H11" s="57" t="n">
        <v>0.3</v>
      </c>
      <c r="I11" s="57">
        <f>F11*H11</f>
        <v/>
      </c>
      <c r="J11" s="4" t="inlineStr">
        <is>
          <t>Coopérative Lille</t>
        </is>
      </c>
      <c r="K11" s="55" t="n"/>
      <c r="L11" s="4" t="inlineStr">
        <is>
          <t>Finition avant réforme</t>
        </is>
      </c>
    </row>
    <row r="12">
      <c r="A12" s="59" t="n">
        <v>46174</v>
      </c>
      <c r="B12" s="10" t="inlineStr">
        <is>
          <t>FR008</t>
        </is>
      </c>
      <c r="C12" s="11">
        <f>IFERROR(VLOOKUP(B12,Troupeau!$A$3:$B$12,2,FALSE),"")</f>
        <v/>
      </c>
      <c r="D12" s="11" t="inlineStr">
        <is>
          <t>Pesée</t>
        </is>
      </c>
      <c r="E12" s="11" t="inlineStr">
        <is>
          <t>Contrôle croissance</t>
        </is>
      </c>
      <c r="F12" s="13" t="n">
        <v>1</v>
      </c>
      <c r="G12" s="11" t="inlineStr">
        <is>
          <t>acte</t>
        </is>
      </c>
      <c r="H12" s="61" t="n">
        <v>15</v>
      </c>
      <c r="I12" s="61">
        <f>F12*H12</f>
        <v/>
      </c>
      <c r="J12" s="11" t="inlineStr">
        <is>
          <t>Éleveur Strasbourg</t>
        </is>
      </c>
      <c r="K12" s="59" t="n">
        <v>46235</v>
      </c>
      <c r="L12" s="11" t="inlineStr">
        <is>
          <t>Poids conforme</t>
        </is>
      </c>
    </row>
    <row r="13"/>
    <row r="14">
      <c r="A14" s="16" t="inlineStr">
        <is>
          <t>TOTAL</t>
        </is>
      </c>
      <c r="B14" s="17" t="n"/>
      <c r="C14" s="17" t="n"/>
      <c r="D14" s="17" t="n"/>
      <c r="E14" s="17" t="n"/>
      <c r="F14" s="17" t="n"/>
      <c r="G14" s="17" t="n"/>
      <c r="H14" s="17" t="n"/>
      <c r="I14" s="65">
        <f>SUM(I3:I12)</f>
        <v/>
      </c>
      <c r="J14" s="17" t="n"/>
      <c r="K14" s="17" t="n"/>
      <c r="L14" s="17" t="n"/>
    </row>
    <row r="15"/>
    <row r="16">
      <c r="A16" s="21" t="inlineStr">
        <is>
          <t>RÉCAPITULATIF PAR TYPE D'OPÉRATION</t>
        </is>
      </c>
    </row>
    <row r="17">
      <c r="A17" s="23" t="inlineStr">
        <is>
          <t>Type</t>
        </is>
      </c>
      <c r="B17" s="23" t="inlineStr">
        <is>
          <t>Montant total (€)</t>
        </is>
      </c>
      <c r="C17" s="23" t="inlineStr">
        <is>
          <t>% du coût total</t>
        </is>
      </c>
    </row>
    <row r="18">
      <c r="A18" s="3" t="inlineStr">
        <is>
          <t>Alimentation</t>
        </is>
      </c>
      <c r="B18" s="57">
        <f>SUMIF(D$3:D$12,A18,I$3:I$12)</f>
        <v/>
      </c>
      <c r="C18" s="66">
        <f>IFERROR(B18/SUM(I$3:I$12),0)</f>
        <v/>
      </c>
    </row>
    <row r="19">
      <c r="A19" s="10" t="inlineStr">
        <is>
          <t>Vaccin</t>
        </is>
      </c>
      <c r="B19" s="61">
        <f>SUMIF(D$3:D$12,A19,I$3:I$12)</f>
        <v/>
      </c>
      <c r="C19" s="67">
        <f>IFERROR(B19/SUM(I$3:I$12),0)</f>
        <v/>
      </c>
    </row>
    <row r="20">
      <c r="A20" s="3" t="inlineStr">
        <is>
          <t>Vermifuge</t>
        </is>
      </c>
      <c r="B20" s="57">
        <f>SUMIF(D$3:D$12,A20,I$3:I$12)</f>
        <v/>
      </c>
      <c r="C20" s="66">
        <f>IFERROR(B20/SUM(I$3:I$12),0)</f>
        <v/>
      </c>
    </row>
    <row r="21">
      <c r="A21" s="10" t="inlineStr">
        <is>
          <t>IA</t>
        </is>
      </c>
      <c r="B21" s="61">
        <f>SUMIF(D$3:D$12,A21,I$3:I$12)</f>
        <v/>
      </c>
      <c r="C21" s="67">
        <f>IFERROR(B21/SUM(I$3:I$12),0)</f>
        <v/>
      </c>
    </row>
    <row r="22">
      <c r="A22" s="3" t="inlineStr">
        <is>
          <t>Soins</t>
        </is>
      </c>
      <c r="B22" s="57">
        <f>SUMIF(D$3:D$12,A22,I$3:I$12)</f>
        <v/>
      </c>
      <c r="C22" s="66">
        <f>IFERROR(B22/SUM(I$3:I$12),0)</f>
        <v/>
      </c>
    </row>
    <row r="23">
      <c r="A23" s="10" t="inlineStr">
        <is>
          <t>Pesée</t>
        </is>
      </c>
      <c r="B23" s="61">
        <f>SUMIF(D$3:D$12,A23,I$3:I$12)</f>
        <v/>
      </c>
      <c r="C23" s="67">
        <f>IFERROR(B23/SUM(I$3:I$12),0)</f>
        <v/>
      </c>
    </row>
    <row r="24">
      <c r="A24" s="26" t="inlineStr">
        <is>
          <t>Taux soins/vaccin/vermifuge sur coût total</t>
        </is>
      </c>
      <c r="B24" s="68">
        <f>IFERROR((SUMIF(D$3:D$12,"Soins",I$3:I$12)+SUMIF(D$3:D$12,"Vaccin",I$3:I$12)+SUMIF(D$3:D$12,"Vermifuge",I$3:I$12))/SUM(I$3:I$12),0)</f>
        <v/>
      </c>
    </row>
  </sheetData>
  <mergeCells count="2">
    <mergeCell ref="A1:L1"/>
    <mergeCell ref="A16:C16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F48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  <col width="30" customWidth="1" min="3" max="3"/>
    <col width="16" customWidth="1" min="4" max="4"/>
    <col width="16" customWidth="1" min="5" max="5"/>
    <col width="16" customWidth="1" min="6" max="6"/>
  </cols>
  <sheetData>
    <row r="1" ht="26" customHeight="1">
      <c r="A1" s="1" t="inlineStr">
        <is>
          <t>TABLEAU DE BORD — SYNTHÈSE DU TROUPEAU</t>
        </is>
      </c>
    </row>
    <row r="2"/>
    <row r="3">
      <c r="A3" s="28" t="inlineStr">
        <is>
          <t>INDICATEUR</t>
        </is>
      </c>
      <c r="B3" s="28" t="inlineStr">
        <is>
          <t>VALEUR</t>
        </is>
      </c>
    </row>
    <row r="4">
      <c r="A4" s="29" t="inlineStr">
        <is>
          <t>Nombre total d'animaux</t>
        </is>
      </c>
      <c r="B4" s="30">
        <f>COUNTA(Troupeau!A3:A12)</f>
        <v/>
      </c>
    </row>
    <row r="5">
      <c r="A5" s="31" t="inlineStr">
        <is>
          <t>Coût sanitaire total (€)</t>
        </is>
      </c>
      <c r="B5" s="69">
        <f>SUM(Troupeau!P3:P12)</f>
        <v/>
      </c>
    </row>
    <row r="6">
      <c r="A6" s="29" t="inlineStr">
        <is>
          <t>Coût alimentaire total (€)</t>
        </is>
      </c>
      <c r="B6" s="70">
        <f>SUMIF('Alimentation &amp; Santé'!D3:D12,"Alimentation",'Alimentation &amp; Santé'!I3:I12)</f>
        <v/>
      </c>
    </row>
    <row r="7">
      <c r="A7" s="31" t="inlineStr">
        <is>
          <t>Valeur totale du troupeau (€)</t>
        </is>
      </c>
      <c r="B7" s="69">
        <f>SUM(Troupeau!Q3:Q12)</f>
        <v/>
      </c>
    </row>
    <row r="8">
      <c r="A8" s="29" t="inlineStr">
        <is>
          <t>Marge globale (€)</t>
        </is>
      </c>
      <c r="B8" s="70">
        <f>SUM(Troupeau!R3:R12)</f>
        <v/>
      </c>
    </row>
    <row r="9">
      <c r="A9" s="31" t="inlineStr">
        <is>
          <t>Poids moyen (kg)</t>
        </is>
      </c>
      <c r="B9" s="34">
        <f>IFERROR(AVERAGE(Troupeau!I3:I12),0)</f>
        <v/>
      </c>
    </row>
    <row r="10">
      <c r="A10" s="29" t="inlineStr">
        <is>
          <t>Production laitière moyenne (L/j)</t>
        </is>
      </c>
      <c r="B10" s="71">
        <f>IFERROR(AVERAGEIF(Troupeau!M3:M12,"&gt;0"),0)</f>
        <v/>
      </c>
    </row>
    <row r="11">
      <c r="A11" s="31" t="inlineStr">
        <is>
          <t>Nb de vêlages (12 derniers mois)</t>
        </is>
      </c>
      <c r="B11" s="36">
        <f>SUM(Troupeau!L3:L12)</f>
        <v/>
      </c>
    </row>
    <row r="12">
      <c r="A12" s="37" t="inlineStr">
        <is>
          <t>Taux d'animaux à surveiller (%)</t>
        </is>
      </c>
      <c r="B12" s="72">
        <f>IFERROR(COUNTIF(Troupeau!N3:N12,"Alerte")+COUNTIF(Troupeau!N3:N12,"Traitement en cours"),0)/COUNTA(Troupeau!A3:A12)</f>
        <v/>
      </c>
    </row>
    <row r="13">
      <c r="A13" s="39" t="inlineStr">
        <is>
          <t>Statut global du troupeau</t>
        </is>
      </c>
      <c r="B13" s="40">
        <f>IF(B12&gt;0.3,"À surveiller","Situation normale")</f>
        <v/>
      </c>
    </row>
    <row r="14"/>
    <row r="15">
      <c r="A15" s="21" t="inlineStr">
        <is>
          <t>RÉPARTITION PAR STATUT</t>
        </is>
      </c>
    </row>
    <row r="16">
      <c r="A16" s="28" t="inlineStr">
        <is>
          <t>Statut</t>
        </is>
      </c>
      <c r="B16" s="28" t="inlineStr">
        <is>
          <t>Nombre</t>
        </is>
      </c>
    </row>
    <row r="17">
      <c r="A17" s="41" t="inlineStr">
        <is>
          <t>veau</t>
        </is>
      </c>
      <c r="B17" s="42">
        <f>COUNTIF(Troupeau!G$3:G$12,A17)</f>
        <v/>
      </c>
    </row>
    <row r="18">
      <c r="A18" s="43" t="inlineStr">
        <is>
          <t>génisse</t>
        </is>
      </c>
      <c r="B18" s="44">
        <f>COUNTIF(Troupeau!G$3:G$12,A18)</f>
        <v/>
      </c>
    </row>
    <row r="19">
      <c r="A19" s="41" t="inlineStr">
        <is>
          <t>vache</t>
        </is>
      </c>
      <c r="B19" s="42">
        <f>COUNTIF(Troupeau!G$3:G$12,A19)</f>
        <v/>
      </c>
    </row>
    <row r="20">
      <c r="A20" s="43" t="inlineStr">
        <is>
          <t>taurillon</t>
        </is>
      </c>
      <c r="B20" s="44">
        <f>COUNTIF(Troupeau!G$3:G$12,A20)</f>
        <v/>
      </c>
    </row>
    <row r="21">
      <c r="A21" s="41" t="inlineStr">
        <is>
          <t>réforme</t>
        </is>
      </c>
      <c r="B21" s="42">
        <f>COUNTIF(Troupeau!G$3:G$12,A21)</f>
        <v/>
      </c>
    </row>
    <row r="22"/>
    <row r="23">
      <c r="A23" s="21" t="inlineStr">
        <is>
          <t>RÉPARTITION DES COÛTS</t>
        </is>
      </c>
    </row>
    <row r="24">
      <c r="A24" s="28" t="inlineStr">
        <is>
          <t>Catégorie</t>
        </is>
      </c>
      <c r="B24" s="28" t="inlineStr">
        <is>
          <t>Montant (€)</t>
        </is>
      </c>
    </row>
    <row r="25">
      <c r="A25" s="41" t="inlineStr">
        <is>
          <t>Alimentation</t>
        </is>
      </c>
      <c r="B25" s="73">
        <f>SUMIF('Alimentation &amp; Santé'!D$3:D$12,"Alimentation",'Alimentation &amp; Santé'!I$3:I$12)</f>
        <v/>
      </c>
    </row>
    <row r="26">
      <c r="A26" s="43" t="inlineStr">
        <is>
          <t>Santé (vaccin+vermifuge+soins)</t>
        </is>
      </c>
      <c r="B26" s="74">
        <f>SUMIF('Alimentation &amp; Santé'!D$3:D$12,"Vaccin",'Alimentation &amp; Santé'!I$3:I$12)+SUMIF('Alimentation &amp; Santé'!D$3:D$12,"Vermifuge",'Alimentation &amp; Santé'!I$3:I$12)+SUMIF('Alimentation &amp; Santé'!D$3:D$12,"Soins",'Alimentation &amp; Santé'!I$3:I$12)</f>
        <v/>
      </c>
    </row>
    <row r="27">
      <c r="A27" s="41" t="inlineStr">
        <is>
          <t>Reproduction (IA)</t>
        </is>
      </c>
      <c r="B27" s="73">
        <f>SUMIF('Alimentation &amp; Santé'!D$3:D$12,"IA",'Alimentation &amp; Santé'!I$3:I$12)</f>
        <v/>
      </c>
    </row>
    <row r="28">
      <c r="A28" s="43" t="inlineStr">
        <is>
          <t>Pesée</t>
        </is>
      </c>
      <c r="B28" s="74">
        <f>SUMIF('Alimentation &amp; Santé'!D$3:D$12,"Pesée",'Alimentation &amp; Santé'!I$3:I$12)</f>
        <v/>
      </c>
    </row>
    <row r="29"/>
    <row r="30">
      <c r="A30" s="21" t="inlineStr">
        <is>
          <t>ÉVOLUTION MENSUELLE DU POIDS MOYEN (2026)</t>
        </is>
      </c>
    </row>
    <row r="31">
      <c r="A31" s="28" t="inlineStr">
        <is>
          <t>Mois</t>
        </is>
      </c>
      <c r="B31" s="28" t="inlineStr">
        <is>
          <t>Poids moyen (kg)</t>
        </is>
      </c>
    </row>
    <row r="32">
      <c r="A32" s="41" t="inlineStr">
        <is>
          <t>Janvier</t>
        </is>
      </c>
      <c r="B32" s="47">
        <f>IFERROR(AVERAGEIFS(Troupeau!I$3:I$12,Troupeau!J$3:J$12,"&gt;="&amp;DATE(2026,1,1),Troupeau!J$3:J$12,"&lt;"&amp;DATE(2026,2,1)),0)</f>
        <v/>
      </c>
    </row>
    <row r="33">
      <c r="A33" s="43" t="inlineStr">
        <is>
          <t>Février</t>
        </is>
      </c>
      <c r="B33" s="48">
        <f>IFERROR(AVERAGEIFS(Troupeau!I$3:I$12,Troupeau!J$3:J$12,"&gt;="&amp;DATE(2026,2,1),Troupeau!J$3:J$12,"&lt;"&amp;DATE(2026,3,1)),0)</f>
        <v/>
      </c>
    </row>
    <row r="34">
      <c r="A34" s="41" t="inlineStr">
        <is>
          <t>Mars</t>
        </is>
      </c>
      <c r="B34" s="47">
        <f>IFERROR(AVERAGEIFS(Troupeau!I$3:I$12,Troupeau!J$3:J$12,"&gt;="&amp;DATE(2026,3,1),Troupeau!J$3:J$12,"&lt;"&amp;DATE(2026,4,1)),0)</f>
        <v/>
      </c>
    </row>
    <row r="35">
      <c r="A35" s="43" t="inlineStr">
        <is>
          <t>Avril</t>
        </is>
      </c>
      <c r="B35" s="48">
        <f>IFERROR(AVERAGEIFS(Troupeau!I$3:I$12,Troupeau!J$3:J$12,"&gt;="&amp;DATE(2026,4,1),Troupeau!J$3:J$12,"&lt;"&amp;DATE(2026,5,1)),0)</f>
        <v/>
      </c>
    </row>
    <row r="36">
      <c r="A36" s="41" t="inlineStr">
        <is>
          <t>Mai</t>
        </is>
      </c>
      <c r="B36" s="47">
        <f>IFERROR(AVERAGEIFS(Troupeau!I$3:I$12,Troupeau!J$3:J$12,"&gt;="&amp;DATE(2026,5,1),Troupeau!J$3:J$12,"&lt;"&amp;DATE(2026,6,1)),0)</f>
        <v/>
      </c>
    </row>
    <row r="37">
      <c r="A37" s="43" t="inlineStr">
        <is>
          <t>Juin</t>
        </is>
      </c>
      <c r="B37" s="48">
        <f>IFERROR(AVERAGEIFS(Troupeau!I$3:I$12,Troupeau!J$3:J$12,"&gt;="&amp;DATE(2026,6,1),Troupeau!J$3:J$12,"&lt;"&amp;DATE(2026,7,1)),0)</f>
        <v/>
      </c>
    </row>
    <row r="38">
      <c r="A38" s="41" t="inlineStr">
        <is>
          <t>Juillet</t>
        </is>
      </c>
      <c r="B38" s="47">
        <f>IFERROR(AVERAGEIFS(Troupeau!I$3:I$12,Troupeau!J$3:J$12,"&gt;="&amp;DATE(2026,7,1),Troupeau!J$3:J$12,"&lt;"&amp;DATE(2026,8,1)),0)</f>
        <v/>
      </c>
    </row>
    <row r="39">
      <c r="A39" s="43" t="inlineStr">
        <is>
          <t>Août</t>
        </is>
      </c>
      <c r="B39" s="48">
        <f>IFERROR(AVERAGEIFS(Troupeau!I$3:I$12,Troupeau!J$3:J$12,"&gt;="&amp;DATE(2026,8,1),Troupeau!J$3:J$12,"&lt;"&amp;DATE(2026,9,1)),0)</f>
        <v/>
      </c>
    </row>
    <row r="40">
      <c r="A40" s="41" t="inlineStr">
        <is>
          <t>Septembre</t>
        </is>
      </c>
      <c r="B40" s="47">
        <f>IFERROR(AVERAGEIFS(Troupeau!I$3:I$12,Troupeau!J$3:J$12,"&gt;="&amp;DATE(2026,9,1),Troupeau!J$3:J$12,"&lt;"&amp;DATE(2026,10,1)),0)</f>
        <v/>
      </c>
    </row>
    <row r="41">
      <c r="A41" s="43" t="inlineStr">
        <is>
          <t>Octobre</t>
        </is>
      </c>
      <c r="B41" s="48">
        <f>IFERROR(AVERAGEIFS(Troupeau!I$3:I$12,Troupeau!J$3:J$12,"&gt;="&amp;DATE(2026,10,1),Troupeau!J$3:J$12,"&lt;"&amp;DATE(2026,11,1)),0)</f>
        <v/>
      </c>
    </row>
    <row r="42">
      <c r="A42" s="41" t="inlineStr">
        <is>
          <t>Novembre</t>
        </is>
      </c>
      <c r="B42" s="47">
        <f>IFERROR(AVERAGEIFS(Troupeau!I$3:I$12,Troupeau!J$3:J$12,"&gt;="&amp;DATE(2026,11,1),Troupeau!J$3:J$12,"&lt;"&amp;DATE(2026,12,1)),0)</f>
        <v/>
      </c>
    </row>
    <row r="43">
      <c r="A43" s="43" t="inlineStr">
        <is>
          <t>Décembre</t>
        </is>
      </c>
      <c r="B43" s="48">
        <f>IFERROR(AVERAGEIFS(Troupeau!I$3:I$12,Troupeau!J$3:J$12,"&gt;="&amp;DATE(2026,12,1),Troupeau!J$3:J$12,"&lt;"&amp;DATE(2027,1,1)),0)</f>
        <v/>
      </c>
    </row>
    <row r="44"/>
    <row r="45">
      <c r="A45" s="21" t="inlineStr">
        <is>
          <t>RECHERCHE ANIMAL (saisir ID)</t>
        </is>
      </c>
    </row>
    <row r="46">
      <c r="A46" s="49" t="inlineStr">
        <is>
          <t>ID animal</t>
        </is>
      </c>
      <c r="B46" s="50" t="inlineStr">
        <is>
          <t>FR001</t>
        </is>
      </c>
    </row>
    <row r="47">
      <c r="A47" s="49" t="inlineStr">
        <is>
          <t>Race trouvée</t>
        </is>
      </c>
      <c r="B47" s="49">
        <f>IFERROR(VLOOKUP(B46,Troupeau!A$3:S$12,3,FALSE),"Non trouvé")</f>
        <v/>
      </c>
    </row>
    <row r="48">
      <c r="A48" s="49" t="inlineStr">
        <is>
          <t>Statut trouvé</t>
        </is>
      </c>
      <c r="B48" s="49">
        <f>IFERROR(VLOOKUP(B46,Troupeau!A$3:S$12,7,FALSE),"Non trouvé")</f>
        <v/>
      </c>
    </row>
  </sheetData>
  <mergeCells count="5">
    <mergeCell ref="A1:F1"/>
    <mergeCell ref="A15:B15"/>
    <mergeCell ref="A23:B23"/>
    <mergeCell ref="A30:B30"/>
    <mergeCell ref="A45:B45"/>
  </mergeCells>
  <pageMargins left="0.75" right="0.75" top="1" bottom="1" header="0.5" footer="0.5"/>
  <drawing xmlns:r="http://schemas.openxmlformats.org/officeDocument/2006/relationships" r:id="rId1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B11"/>
  <sheetViews>
    <sheetView workbookViewId="0">
      <selection activeCell="A1" sqref="A1"/>
    </sheetView>
  </sheetViews>
  <sheetFormatPr baseColWidth="8" defaultRowHeight="15"/>
  <cols>
    <col width="32" customWidth="1" min="1" max="1"/>
    <col width="85" customWidth="1" min="2" max="2"/>
  </cols>
  <sheetData>
    <row r="1" ht="26" customHeight="1">
      <c r="A1" s="1" t="inlineStr">
        <is>
          <t>MODE D'EMPLOI — GESTION DU TROUPEAU BOVIN</t>
        </is>
      </c>
    </row>
    <row r="2"/>
    <row r="3" ht="55" customHeight="1">
      <c r="A3" s="51" t="inlineStr">
        <is>
          <t>1. Saisie d'un animal</t>
        </is>
      </c>
      <c r="B3" s="52" t="inlineStr">
        <is>
          <t>Dans la feuille « Troupeau », renseignez chaque animal sur une ligne : ID, nom/repère, race, sexe, date de naissance, statut, date d'entrée, poids et date de pesée. L'âge en mois et la marge estimée se calculent automatiquement.</t>
        </is>
      </c>
    </row>
    <row r="4" ht="55" customHeight="1">
      <c r="A4" s="53" t="inlineStr">
        <is>
          <t>2. Code couleur des statuts</t>
        </is>
      </c>
      <c r="B4" s="54" t="inlineStr">
        <is>
          <t>veau = jeune animal non sevré ; génisse = femelle avant premier vêlage ; vache = femelle reproductrice ; taurillon = mâle en engraissement ; réforme = animal en fin de carrière (fond orange). Les lignes « Alerte » ou « Traitement en cours » sont surlignées en rouge/jaune dans la colonne État sanitaire.</t>
        </is>
      </c>
    </row>
    <row r="5" ht="55" customHeight="1">
      <c r="A5" s="51" t="inlineStr">
        <is>
          <t>3. Gestion des dates</t>
        </is>
      </c>
      <c r="B5" s="52" t="inlineStr">
        <is>
          <t>Toutes les dates doivent être saisies au format JJ/MM/AAAA (ex : 15/03/2026). La colonne « Âge (mois) » utilise la date de naissance et la date du jour. La colonne « Prochaine vaccination » déclenche une alerte automatique si la date est dépassée (rouge) ou proche à moins de 30 jours (jaune).</t>
        </is>
      </c>
    </row>
    <row r="6" ht="55" customHeight="1">
      <c r="A6" s="53" t="inlineStr">
        <is>
          <t>4. Signification des alertes</t>
        </is>
      </c>
      <c r="B6" s="54" t="inlineStr">
        <is>
          <t>Marge estimée négative (police rouge) : le coût sanitaire cumulé dépasse la valeur estimée de l'animal, une révision est nécessaire. Vaccination en retard (fond rouge) : intervention vétérinaire à programmer en urgence. Vaccination proche (fond jaune) : à anticiper dans le mois.</t>
        </is>
      </c>
    </row>
    <row r="7" ht="55" customHeight="1">
      <c r="A7" s="51" t="inlineStr">
        <is>
          <t>5. Feuille Alimentation &amp; Santé</t>
        </is>
      </c>
      <c r="B7" s="52" t="inlineStr">
        <is>
          <t>Chaque opération (alimentation, vaccin, vermifuge, IA, soins, pesée) est enregistrée avec sa quantité et son coût unitaire. Le montant total se calcule automatiquement (Quantité x Coût unitaire). Le récapitulatif en bas de feuille classe les dépenses par type et calcule leur part du coût total.</t>
        </is>
      </c>
    </row>
    <row r="8" ht="55" customHeight="1">
      <c r="A8" s="53" t="inlineStr">
        <is>
          <t>6. Feuille Synthèse</t>
        </is>
      </c>
      <c r="B8" s="54" t="inlineStr">
        <is>
          <t>Cette feuille regroupe les indicateurs clés du troupeau (effectif, coûts, valeur, marge, poids moyen, production moyenne) ainsi que trois graphiques : répartition par statut, répartition des coûts, et évolution mensuelle du poids moyen. Un module de recherche par ID animal utilise la fonction VLOOKUP.</t>
        </is>
      </c>
    </row>
    <row r="9" ht="55" customHeight="1">
      <c r="A9" s="51" t="inlineStr">
        <is>
          <t>7. Cellules éditables</t>
        </is>
      </c>
      <c r="B9" s="52" t="inlineStr">
        <is>
          <t>Les cellules à fond jaune pâle (#FFFBEB) sont destinées à la saisie manuelle : valeur estimée de l'animal, recherche d'ID dans la synthèse. Ne modifiez pas les cellules contenant des formules (fond blanc ou vert clair) pour ne pas casser les calculs automatiques.</t>
        </is>
      </c>
    </row>
    <row r="10" ht="55" customHeight="1">
      <c r="A10" s="53" t="inlineStr">
        <is>
          <t>8. Format des montants</t>
        </is>
      </c>
      <c r="B10" s="54" t="inlineStr">
        <is>
          <t>Tous les montants sont exprimés en euros avec virgule décimale et séparateur d'espace pour les milliers, par exemple 1 450,00 €. Ne saisissez jamais le symbole € manuellement : le format de cellule l'ajoute automatiquement.</t>
        </is>
      </c>
    </row>
    <row r="11" ht="55" customHeight="1">
      <c r="A11" s="51" t="inlineStr">
        <is>
          <t>9. Bonnes pratiques</t>
        </is>
      </c>
      <c r="B11" s="52" t="inlineStr">
        <is>
          <t>Mettez à jour la pesée et la production laitière régulièrement pour garder des indicateurs fiables dans la Synthèse. Renseignez systématiquement la prochaine échéance vétérinaire pour anticiper les alertes.</t>
        </is>
      </c>
    </row>
  </sheetData>
  <mergeCells count="1">
    <mergeCell ref="A1:B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2026-07-06T23:50:42Z</dcterms:created>
  <dcterms:modified xmlns:dcterms="http://purl.org/dc/terms/" xmlns:xsi="http://www.w3.org/2001/XMLSchema-instance" xsi:type="dcterms:W3CDTF">2026-07-06T23:50:42Z</dcterms:modified>
</cp:coreProperties>
</file>